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ables/table1.xml" ContentType="application/vnd.openxmlformats-officedocument.spreadsheetml.tab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https://iservgroup-my.sharepoint.com/personal/snewberry_iservgroup_com/Documents/Documents/Copilot/Created/"/>
    </mc:Choice>
  </mc:AlternateContent>
  <xr:revisionPtr revIDLastSave="0" documentId="8_{2F1ABFF5-BAF3-4CAE-A89E-16CF484A1B23}" xr6:coauthVersionLast="47" xr6:coauthVersionMax="47" xr10:uidLastSave="{00000000-0000-0000-0000-000000000000}"/>
  <bookViews>
    <workbookView xWindow="30600" yWindow="-120" windowWidth="30960" windowHeight="16800" firstSheet="1" activeTab="1" xr2:uid="{00000000-000D-0000-FFFF-FFFF00000000}"/>
  </bookViews>
  <sheets>
    <sheet name="Cowork Estimator" sheetId="10" r:id="rId1"/>
    <sheet name="Executive Dashboard" sheetId="1" r:id="rId2"/>
    <sheet name="Inputs &amp; Assumptions" sheetId="2" r:id="rId3"/>
    <sheet name="Cost Tier Reference" sheetId="3" r:id="rId4"/>
    <sheet name="Project Evaluator" sheetId="4" r:id="rId5"/>
    <sheet name="Pack vs PAYG" sheetId="5" r:id="rId6"/>
    <sheet name="Break-Even Analysis" sheetId="6" r:id="rId7"/>
    <sheet name="Budget Guardrails" sheetId="7" r:id="rId8"/>
    <sheet name="Scenario Guide" sheetId="8" r:id="rId9"/>
    <sheet name="Sources &amp; Notes" sheetId="9" r:id="rId10"/>
  </sheet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0" l="1"/>
  <c r="G25" i="10"/>
  <c r="G24" i="10"/>
  <c r="G23" i="10"/>
  <c r="D41" i="10" s="1"/>
  <c r="D42" i="10" s="1"/>
  <c r="D43" i="10" s="1"/>
  <c r="B5" i="7" l="1"/>
  <c r="F13" i="6"/>
  <c r="G13" i="6" s="1"/>
  <c r="F12" i="6"/>
  <c r="G12" i="6" s="1"/>
  <c r="F11" i="6"/>
  <c r="G11" i="6" s="1"/>
  <c r="F10" i="6"/>
  <c r="G10" i="6" s="1"/>
  <c r="F9" i="6"/>
  <c r="G9" i="6" s="1"/>
  <c r="F8" i="6"/>
  <c r="G8" i="6" s="1"/>
  <c r="F7" i="6"/>
  <c r="G7" i="6" s="1"/>
  <c r="F6" i="6"/>
  <c r="G6" i="6" s="1"/>
  <c r="B5" i="6"/>
  <c r="B6" i="6" s="1"/>
  <c r="B7" i="6" s="1"/>
  <c r="B12" i="6" s="1"/>
  <c r="C20" i="5"/>
  <c r="D20" i="5" s="1"/>
  <c r="B20" i="5"/>
  <c r="C19" i="5"/>
  <c r="D19" i="5" s="1"/>
  <c r="B19" i="5"/>
  <c r="C18" i="5"/>
  <c r="D18" i="5" s="1"/>
  <c r="B18" i="5"/>
  <c r="C17" i="5"/>
  <c r="D17" i="5" s="1"/>
  <c r="B17" i="5"/>
  <c r="C16" i="5"/>
  <c r="D16" i="5" s="1"/>
  <c r="B16" i="5"/>
  <c r="C15" i="5"/>
  <c r="D15" i="5" s="1"/>
  <c r="B15" i="5"/>
  <c r="C14" i="5"/>
  <c r="D14" i="5" s="1"/>
  <c r="B14" i="5"/>
  <c r="C13" i="5"/>
  <c r="D13" i="5" s="1"/>
  <c r="B13" i="5"/>
  <c r="C12" i="5"/>
  <c r="D12" i="5" s="1"/>
  <c r="B12" i="5"/>
  <c r="C11" i="5"/>
  <c r="D11" i="5" s="1"/>
  <c r="B11" i="5"/>
  <c r="C10" i="5"/>
  <c r="D10" i="5" s="1"/>
  <c r="B10" i="5"/>
  <c r="C9" i="5"/>
  <c r="D9" i="5" s="1"/>
  <c r="B9" i="5"/>
  <c r="C8" i="5"/>
  <c r="D8" i="5" s="1"/>
  <c r="B8" i="5"/>
  <c r="C7" i="5"/>
  <c r="D7" i="5" s="1"/>
  <c r="B7" i="5"/>
  <c r="C6" i="5"/>
  <c r="D6" i="5" s="1"/>
  <c r="B6" i="5"/>
  <c r="E5" i="5"/>
  <c r="G5" i="5" s="1"/>
  <c r="C5" i="5"/>
  <c r="D5" i="5" s="1"/>
  <c r="B5" i="5"/>
  <c r="F5" i="5" s="1"/>
  <c r="V34" i="4"/>
  <c r="N34" i="4"/>
  <c r="O34" i="4" s="1"/>
  <c r="J34" i="4"/>
  <c r="G34" i="4"/>
  <c r="V33" i="4"/>
  <c r="N33" i="4"/>
  <c r="O33" i="4" s="1"/>
  <c r="J33" i="4"/>
  <c r="G33" i="4"/>
  <c r="V32" i="4"/>
  <c r="N32" i="4"/>
  <c r="O32" i="4" s="1"/>
  <c r="J32" i="4"/>
  <c r="G32" i="4"/>
  <c r="V31" i="4"/>
  <c r="N31" i="4"/>
  <c r="O31" i="4" s="1"/>
  <c r="J31" i="4"/>
  <c r="G31" i="4"/>
  <c r="V30" i="4"/>
  <c r="N30" i="4"/>
  <c r="O30" i="4" s="1"/>
  <c r="J30" i="4"/>
  <c r="G30" i="4"/>
  <c r="V29" i="4"/>
  <c r="N29" i="4"/>
  <c r="O29" i="4" s="1"/>
  <c r="J29" i="4"/>
  <c r="G29" i="4"/>
  <c r="V28" i="4"/>
  <c r="N28" i="4"/>
  <c r="O28" i="4" s="1"/>
  <c r="J28" i="4"/>
  <c r="G28" i="4"/>
  <c r="V27" i="4"/>
  <c r="N27" i="4"/>
  <c r="O27" i="4" s="1"/>
  <c r="J27" i="4"/>
  <c r="G27" i="4"/>
  <c r="V26" i="4"/>
  <c r="N26" i="4"/>
  <c r="O26" i="4" s="1"/>
  <c r="J26" i="4"/>
  <c r="G26" i="4"/>
  <c r="V25" i="4"/>
  <c r="N25" i="4"/>
  <c r="O25" i="4" s="1"/>
  <c r="J25" i="4"/>
  <c r="G25" i="4"/>
  <c r="V24" i="4"/>
  <c r="N24" i="4"/>
  <c r="O24" i="4" s="1"/>
  <c r="J24" i="4"/>
  <c r="G24" i="4"/>
  <c r="V23" i="4"/>
  <c r="N23" i="4"/>
  <c r="O23" i="4" s="1"/>
  <c r="J23" i="4"/>
  <c r="G23" i="4"/>
  <c r="V22" i="4"/>
  <c r="N22" i="4"/>
  <c r="O22" i="4" s="1"/>
  <c r="J22" i="4"/>
  <c r="G22" i="4"/>
  <c r="V21" i="4"/>
  <c r="N21" i="4"/>
  <c r="O21" i="4" s="1"/>
  <c r="J21" i="4"/>
  <c r="G21" i="4"/>
  <c r="V20" i="4"/>
  <c r="N20" i="4"/>
  <c r="O20" i="4" s="1"/>
  <c r="J20" i="4"/>
  <c r="G20" i="4"/>
  <c r="V19" i="4"/>
  <c r="N19" i="4"/>
  <c r="O19" i="4" s="1"/>
  <c r="J19" i="4"/>
  <c r="G19" i="4"/>
  <c r="V18" i="4"/>
  <c r="N18" i="4"/>
  <c r="O18" i="4" s="1"/>
  <c r="J18" i="4"/>
  <c r="G18" i="4"/>
  <c r="V17" i="4"/>
  <c r="N17" i="4"/>
  <c r="O17" i="4" s="1"/>
  <c r="J17" i="4"/>
  <c r="G17" i="4"/>
  <c r="V16" i="4"/>
  <c r="N16" i="4"/>
  <c r="O16" i="4" s="1"/>
  <c r="J16" i="4"/>
  <c r="G16" i="4"/>
  <c r="V15" i="4"/>
  <c r="N15" i="4"/>
  <c r="O15" i="4" s="1"/>
  <c r="J15" i="4"/>
  <c r="G15" i="4"/>
  <c r="V14" i="4"/>
  <c r="N14" i="4"/>
  <c r="O14" i="4" s="1"/>
  <c r="J14" i="4"/>
  <c r="G14" i="4"/>
  <c r="V13" i="4"/>
  <c r="N13" i="4"/>
  <c r="O13" i="4" s="1"/>
  <c r="J13" i="4"/>
  <c r="G13" i="4"/>
  <c r="V12" i="4"/>
  <c r="N12" i="4"/>
  <c r="O12" i="4" s="1"/>
  <c r="J12" i="4"/>
  <c r="G12" i="4"/>
  <c r="V11" i="4"/>
  <c r="N11" i="4"/>
  <c r="O11" i="4" s="1"/>
  <c r="J11" i="4"/>
  <c r="G11" i="4"/>
  <c r="V10" i="4"/>
  <c r="N10" i="4"/>
  <c r="O10" i="4" s="1"/>
  <c r="J10" i="4"/>
  <c r="G10" i="4"/>
  <c r="G9" i="4"/>
  <c r="V8" i="4"/>
  <c r="N8" i="4"/>
  <c r="O8" i="4" s="1"/>
  <c r="J8" i="4"/>
  <c r="G8" i="4"/>
  <c r="G7" i="4"/>
  <c r="G6" i="4"/>
  <c r="G5" i="4"/>
  <c r="B14" i="1"/>
  <c r="B7" i="1"/>
  <c r="B5" i="1"/>
  <c r="B6" i="1" s="1"/>
  <c r="B8" i="1" l="1"/>
  <c r="B24" i="1" s="1"/>
  <c r="N5" i="4"/>
  <c r="O5" i="4" s="1"/>
  <c r="J5" i="4"/>
  <c r="N6" i="4"/>
  <c r="O6" i="4" s="1"/>
  <c r="J6" i="4"/>
  <c r="N7" i="4"/>
  <c r="O7" i="4" s="1"/>
  <c r="J7" i="4"/>
  <c r="P8" i="4"/>
  <c r="K8" i="4"/>
  <c r="N9" i="4"/>
  <c r="O9" i="4" s="1"/>
  <c r="J9" i="4"/>
  <c r="P10" i="4"/>
  <c r="K10" i="4"/>
  <c r="P11" i="4"/>
  <c r="K11" i="4"/>
  <c r="P12" i="4"/>
  <c r="K12" i="4"/>
  <c r="P13" i="4"/>
  <c r="K13" i="4"/>
  <c r="P14" i="4"/>
  <c r="K14" i="4"/>
  <c r="P15" i="4"/>
  <c r="K15" i="4"/>
  <c r="P16" i="4"/>
  <c r="K16" i="4"/>
  <c r="P17" i="4"/>
  <c r="K17" i="4"/>
  <c r="P18" i="4"/>
  <c r="K18" i="4"/>
  <c r="P19" i="4"/>
  <c r="K19" i="4"/>
  <c r="P20" i="4"/>
  <c r="K20" i="4"/>
  <c r="P21" i="4"/>
  <c r="K21" i="4"/>
  <c r="P22" i="4"/>
  <c r="K22" i="4"/>
  <c r="P23" i="4"/>
  <c r="K23" i="4"/>
  <c r="P24" i="4"/>
  <c r="K24" i="4"/>
  <c r="P25" i="4"/>
  <c r="K25" i="4"/>
  <c r="P26" i="4"/>
  <c r="K26" i="4"/>
  <c r="P27" i="4"/>
  <c r="K27" i="4"/>
  <c r="P28" i="4"/>
  <c r="K28" i="4"/>
  <c r="P29" i="4"/>
  <c r="K29" i="4"/>
  <c r="P30" i="4"/>
  <c r="K30" i="4"/>
  <c r="P31" i="4"/>
  <c r="K31" i="4"/>
  <c r="P32" i="4"/>
  <c r="K32" i="4"/>
  <c r="P33" i="4"/>
  <c r="K33" i="4"/>
  <c r="P34" i="4"/>
  <c r="K34" i="4"/>
  <c r="F6" i="5"/>
  <c r="E6" i="5"/>
  <c r="G6" i="5" s="1"/>
  <c r="F7" i="5"/>
  <c r="E7" i="5"/>
  <c r="G7" i="5" s="1"/>
  <c r="F8" i="5"/>
  <c r="E8" i="5"/>
  <c r="G8" i="5" s="1"/>
  <c r="F9" i="5"/>
  <c r="E9" i="5"/>
  <c r="G9" i="5" s="1"/>
  <c r="F10" i="5"/>
  <c r="E10" i="5"/>
  <c r="G10" i="5" s="1"/>
  <c r="F11" i="5"/>
  <c r="E11" i="5"/>
  <c r="G11" i="5" s="1"/>
  <c r="F12" i="5"/>
  <c r="E12" i="5"/>
  <c r="G12" i="5" s="1"/>
  <c r="F13" i="5"/>
  <c r="E13" i="5"/>
  <c r="G13" i="5" s="1"/>
  <c r="F14" i="5"/>
  <c r="E14" i="5"/>
  <c r="G14" i="5" s="1"/>
  <c r="F15" i="5"/>
  <c r="E15" i="5"/>
  <c r="G15" i="5" s="1"/>
  <c r="F16" i="5"/>
  <c r="E16" i="5"/>
  <c r="G16" i="5" s="1"/>
  <c r="F17" i="5"/>
  <c r="E17" i="5"/>
  <c r="G17" i="5" s="1"/>
  <c r="F18" i="5"/>
  <c r="E18" i="5"/>
  <c r="G18" i="5" s="1"/>
  <c r="F19" i="5"/>
  <c r="E19" i="5"/>
  <c r="G19" i="5" s="1"/>
  <c r="F20" i="5"/>
  <c r="E20" i="5"/>
  <c r="G20" i="5" s="1"/>
  <c r="T34" i="4" l="1"/>
  <c r="R34" i="4"/>
  <c r="S34" i="4" s="1"/>
  <c r="Q34" i="4"/>
  <c r="U34" i="4" s="1"/>
  <c r="T33" i="4"/>
  <c r="R33" i="4"/>
  <c r="S33" i="4" s="1"/>
  <c r="Q33" i="4"/>
  <c r="U33" i="4" s="1"/>
  <c r="T32" i="4"/>
  <c r="R32" i="4"/>
  <c r="S32" i="4" s="1"/>
  <c r="Q32" i="4"/>
  <c r="U32" i="4" s="1"/>
  <c r="T31" i="4"/>
  <c r="R31" i="4"/>
  <c r="S31" i="4" s="1"/>
  <c r="Q31" i="4"/>
  <c r="U31" i="4" s="1"/>
  <c r="T30" i="4"/>
  <c r="R30" i="4"/>
  <c r="S30" i="4" s="1"/>
  <c r="Q30" i="4"/>
  <c r="U30" i="4" s="1"/>
  <c r="T29" i="4"/>
  <c r="R29" i="4"/>
  <c r="S29" i="4" s="1"/>
  <c r="Q29" i="4"/>
  <c r="U29" i="4" s="1"/>
  <c r="T28" i="4"/>
  <c r="R28" i="4"/>
  <c r="S28" i="4" s="1"/>
  <c r="Q28" i="4"/>
  <c r="U28" i="4" s="1"/>
  <c r="T27" i="4"/>
  <c r="R27" i="4"/>
  <c r="S27" i="4" s="1"/>
  <c r="Q27" i="4"/>
  <c r="U27" i="4" s="1"/>
  <c r="T26" i="4"/>
  <c r="R26" i="4"/>
  <c r="S26" i="4" s="1"/>
  <c r="Q26" i="4"/>
  <c r="U26" i="4" s="1"/>
  <c r="T25" i="4"/>
  <c r="R25" i="4"/>
  <c r="S25" i="4" s="1"/>
  <c r="Q25" i="4"/>
  <c r="U25" i="4" s="1"/>
  <c r="T24" i="4"/>
  <c r="R24" i="4"/>
  <c r="S24" i="4" s="1"/>
  <c r="Q24" i="4"/>
  <c r="U24" i="4" s="1"/>
  <c r="T23" i="4"/>
  <c r="R23" i="4"/>
  <c r="S23" i="4" s="1"/>
  <c r="Q23" i="4"/>
  <c r="U23" i="4" s="1"/>
  <c r="T22" i="4"/>
  <c r="R22" i="4"/>
  <c r="S22" i="4" s="1"/>
  <c r="Q22" i="4"/>
  <c r="U22" i="4" s="1"/>
  <c r="T21" i="4"/>
  <c r="R21" i="4"/>
  <c r="S21" i="4" s="1"/>
  <c r="Q21" i="4"/>
  <c r="U21" i="4" s="1"/>
  <c r="T20" i="4"/>
  <c r="R20" i="4"/>
  <c r="S20" i="4" s="1"/>
  <c r="Q20" i="4"/>
  <c r="U20" i="4" s="1"/>
  <c r="T19" i="4"/>
  <c r="R19" i="4"/>
  <c r="S19" i="4" s="1"/>
  <c r="Q19" i="4"/>
  <c r="U19" i="4" s="1"/>
  <c r="T18" i="4"/>
  <c r="R18" i="4"/>
  <c r="S18" i="4" s="1"/>
  <c r="Q18" i="4"/>
  <c r="U18" i="4" s="1"/>
  <c r="T17" i="4"/>
  <c r="R17" i="4"/>
  <c r="S17" i="4" s="1"/>
  <c r="Q17" i="4"/>
  <c r="U17" i="4" s="1"/>
  <c r="T16" i="4"/>
  <c r="R16" i="4"/>
  <c r="S16" i="4" s="1"/>
  <c r="Q16" i="4"/>
  <c r="U16" i="4" s="1"/>
  <c r="T15" i="4"/>
  <c r="R15" i="4"/>
  <c r="S15" i="4" s="1"/>
  <c r="Q15" i="4"/>
  <c r="U15" i="4" s="1"/>
  <c r="T14" i="4"/>
  <c r="R14" i="4"/>
  <c r="S14" i="4" s="1"/>
  <c r="Q14" i="4"/>
  <c r="U14" i="4" s="1"/>
  <c r="T13" i="4"/>
  <c r="R13" i="4"/>
  <c r="S13" i="4" s="1"/>
  <c r="Q13" i="4"/>
  <c r="U13" i="4" s="1"/>
  <c r="T12" i="4"/>
  <c r="R12" i="4"/>
  <c r="S12" i="4" s="1"/>
  <c r="Q12" i="4"/>
  <c r="U12" i="4" s="1"/>
  <c r="T11" i="4"/>
  <c r="R11" i="4"/>
  <c r="S11" i="4" s="1"/>
  <c r="Q11" i="4"/>
  <c r="U11" i="4" s="1"/>
  <c r="T10" i="4"/>
  <c r="R10" i="4"/>
  <c r="S10" i="4" s="1"/>
  <c r="Q10" i="4"/>
  <c r="U10" i="4" s="1"/>
  <c r="P9" i="4"/>
  <c r="K9" i="4"/>
  <c r="T8" i="4"/>
  <c r="R8" i="4"/>
  <c r="S8" i="4" s="1"/>
  <c r="Q8" i="4"/>
  <c r="U8" i="4" s="1"/>
  <c r="P7" i="4"/>
  <c r="K7" i="4"/>
  <c r="P6" i="4"/>
  <c r="K6" i="4"/>
  <c r="P5" i="4"/>
  <c r="K5" i="4"/>
  <c r="B8" i="6" l="1"/>
  <c r="R5" i="4"/>
  <c r="S5" i="4" s="1"/>
  <c r="Q5" i="4"/>
  <c r="B9" i="1"/>
  <c r="R6" i="4"/>
  <c r="S6" i="4" s="1"/>
  <c r="Q6" i="4"/>
  <c r="R7" i="4"/>
  <c r="S7" i="4" s="1"/>
  <c r="Q7" i="4"/>
  <c r="R9" i="4"/>
  <c r="S9" i="4" s="1"/>
  <c r="Q9" i="4"/>
  <c r="V9" i="4" l="1"/>
  <c r="U9" i="4"/>
  <c r="T9" i="4"/>
  <c r="U7" i="4"/>
  <c r="T7" i="4"/>
  <c r="V7" i="4" s="1"/>
  <c r="U6" i="4"/>
  <c r="T6" i="4"/>
  <c r="V6" i="4" s="1"/>
  <c r="B11" i="1"/>
  <c r="B12" i="1" s="1"/>
  <c r="B26" i="1" s="1"/>
  <c r="B10" i="1"/>
  <c r="V5" i="4"/>
  <c r="U5" i="4"/>
  <c r="T5" i="4"/>
  <c r="B10" i="6"/>
  <c r="B9" i="6"/>
  <c r="B11" i="6" l="1"/>
  <c r="B14" i="6" s="1"/>
  <c r="B6" i="7"/>
  <c r="B25" i="1"/>
  <c r="B16" i="1"/>
  <c r="B7" i="7" s="1"/>
  <c r="B15" i="1"/>
  <c r="B17" i="1"/>
  <c r="B18" i="1" s="1"/>
  <c r="B13" i="1"/>
  <c r="B13" i="6" l="1"/>
</calcChain>
</file>

<file path=xl/sharedStrings.xml><?xml version="1.0" encoding="utf-8"?>
<sst xmlns="http://schemas.openxmlformats.org/spreadsheetml/2006/main" count="315" uniqueCount="276">
  <si>
    <t>Welcome!</t>
  </si>
  <si>
    <r>
      <t xml:space="preserve">Use this spreadsheet to explore how your organization might use Copilot Credits when using Cowork. By following the step-by-step process and entering your expected usage, you can model different scenarios and get a directional view of potential costs. This model is provided for illustrative purposes only to demonstrate an approach, and organizations should build and validate their own models based on their specific needs. Start at the top, follow each step in order, and adjust assumptions as needed to reflect your organization’s needs. </t>
    </r>
    <r>
      <rPr>
        <b/>
        <sz val="11"/>
        <color theme="1"/>
        <rFont val="Calibri"/>
        <family val="2"/>
        <scheme val="minor"/>
      </rPr>
      <t>These estimates assume Anthropic Opus 4.8.</t>
    </r>
  </si>
  <si>
    <t>Step 1:</t>
  </si>
  <si>
    <t>Who will use Cowork?</t>
  </si>
  <si>
    <t>Number of users</t>
  </si>
  <si>
    <t>Corporate Knowledge Workers</t>
  </si>
  <si>
    <t>Customer-Facing Knowledge Workers</t>
  </si>
  <si>
    <t>Technical Workers</t>
  </si>
  <si>
    <t>Managers &amp; Senior Leaders</t>
  </si>
  <si>
    <t>Step 2:</t>
  </si>
  <si>
    <t>How many light, medium, and heavy prompts will each user execute per month?</t>
  </si>
  <si>
    <t>The default numbers are based on Microsoft Frontier customer usage as of 5/27/2026. Please update to suit your organization.</t>
  </si>
  <si>
    <t>Light</t>
  </si>
  <si>
    <t>Medium</t>
  </si>
  <si>
    <t>Heavy</t>
  </si>
  <si>
    <t>Monthly Copilot Credit spend per user</t>
  </si>
  <si>
    <t>Narrow context, lightweight model, 0–1 tool calls, minimal runtime — 0–1 deliverables.</t>
  </si>
  <si>
    <t>Richer context, capable model, several tool calls, moderate runtime — 2+ outputs.</t>
  </si>
  <si>
    <t>Broad context aggregation, high-quality model, many tool calls, sustained runtime — many outputs.</t>
  </si>
  <si>
    <t>Managers and Senior Leaders</t>
  </si>
  <si>
    <t xml:space="preserve">Step 3: </t>
  </si>
  <si>
    <t>How many Copilot Credits are consumed per prompt?</t>
  </si>
  <si>
    <r>
      <t>Copilot Credits used per prompt</t>
    </r>
    <r>
      <rPr>
        <b/>
        <vertAlign val="superscript"/>
        <sz val="11"/>
        <color theme="0"/>
        <rFont val="Calibri"/>
        <family val="2"/>
        <scheme val="minor"/>
      </rPr>
      <t>1</t>
    </r>
    <r>
      <rPr>
        <b/>
        <sz val="11"/>
        <color theme="0"/>
        <rFont val="Calibri"/>
        <family val="2"/>
        <scheme val="minor"/>
      </rPr>
      <t xml:space="preserve"> </t>
    </r>
  </si>
  <si>
    <t>Step 4:</t>
  </si>
  <si>
    <t>Summary</t>
  </si>
  <si>
    <r>
      <t>Est. monthly Copilot Credits</t>
    </r>
    <r>
      <rPr>
        <b/>
        <vertAlign val="superscript"/>
        <sz val="11"/>
        <color theme="1"/>
        <rFont val="Calibri"/>
        <family val="2"/>
        <scheme val="minor"/>
      </rPr>
      <t>2</t>
    </r>
  </si>
  <si>
    <t>Est. monthly Cowork budget (List Pricing)</t>
  </si>
  <si>
    <t>Average price per user per month</t>
  </si>
  <si>
    <r>
      <rPr>
        <vertAlign val="superscript"/>
        <sz val="9"/>
        <color theme="1"/>
        <rFont val="Calibri"/>
        <family val="2"/>
        <scheme val="minor"/>
      </rPr>
      <t>1</t>
    </r>
    <r>
      <rPr>
        <sz val="9"/>
        <color theme="1"/>
        <rFont val="Calibri"/>
        <family val="2"/>
        <scheme val="minor"/>
      </rPr>
      <t>Disclaimer: The information presented herein is derived from aggregated and anonymized data collected from customers who participated in the Cowork Frontier program. This data is intended for illustrative and informational purposes only and may not reflect the experience or results of all customers. It should not be relied upon as definitive, complete, or predictive of future outcomes.</t>
    </r>
  </si>
  <si>
    <r>
      <rPr>
        <vertAlign val="superscript"/>
        <sz val="9"/>
        <color theme="1"/>
        <rFont val="Calibri"/>
        <family val="2"/>
        <scheme val="minor"/>
      </rPr>
      <t>2</t>
    </r>
    <r>
      <rPr>
        <sz val="9"/>
        <color theme="1"/>
        <rFont val="Calibri"/>
        <family val="2"/>
        <scheme val="minor"/>
      </rPr>
      <t>Disclaimer: This spreadsheet is designed to help inform budgeting considerations for potential Cowork purchases. The data represents generalized estimates and may vary based on individual customer scenarios. Microsoft does not guarantee the accuracy of this information and disclaims any warranties or assurances related to expected results or outcomes.</t>
    </r>
  </si>
  <si>
    <t>AI Cost Calculator - Executive Dashboard</t>
  </si>
  <si>
    <t>Scenario-based comparison: M365 Copilot licensing vs Copilot Agent credits.</t>
  </si>
  <si>
    <t>Metric</t>
  </si>
  <si>
    <t>Value</t>
  </si>
  <si>
    <t>Interpretation</t>
  </si>
  <si>
    <t>Executive Interpretation</t>
  </si>
  <si>
    <t>Selected scenario</t>
  </si>
  <si>
    <t>Use M365 Copilot when</t>
  </si>
  <si>
    <t>The project is employee productivity-centric: meetings, email, documents, analysis, and internal work inside Microsoft 365.</t>
  </si>
  <si>
    <t>Modeled employee seats</t>
  </si>
  <si>
    <t>M365 Copilot nonprofit price</t>
  </si>
  <si>
    <t>Use Copilot Agents when</t>
  </si>
  <si>
    <t>The use case is process-specific, external/resident-facing, or requires structured workflows/actions.</t>
  </si>
  <si>
    <t>M365 Copilot monthly license cost</t>
  </si>
  <si>
    <t>Total active agent credits</t>
  </si>
  <si>
    <t>Watch budget risk when</t>
  </si>
  <si>
    <t>The project is external-facing, high-volume, autonomous/scheduled, or requires multiple grounding/actions.</t>
  </si>
  <si>
    <t>PAYG agent cost</t>
  </si>
  <si>
    <t>Capacity packs required</t>
  </si>
  <si>
    <t>Governance posture</t>
  </si>
  <si>
    <t>For a hard ceiling: use prepaid capacity packs without automatic PAYG overage. For continuity: pair packs with PAYG and alerts.</t>
  </si>
  <si>
    <t>Capacity pack cost</t>
  </si>
  <si>
    <t>Recommended agent billing model</t>
  </si>
  <si>
    <t>Monthly AI budget ceiling</t>
  </si>
  <si>
    <t>Projected agent spend vs budget</t>
  </si>
  <si>
    <t>Budget status</t>
  </si>
  <si>
    <t>Copilot vs Agent monthly delta</t>
  </si>
  <si>
    <t>Decision headline</t>
  </si>
  <si>
    <t>Cost Comparison</t>
  </si>
  <si>
    <t>Cost Type</t>
  </si>
  <si>
    <t>Monthly Cost</t>
  </si>
  <si>
    <t>M365 Copilot</t>
  </si>
  <si>
    <t>Agent PAYG</t>
  </si>
  <si>
    <t>Agent Capacity Packs</t>
  </si>
  <si>
    <t>AI Cost Calculator - Inputs &amp; Assumptions</t>
  </si>
  <si>
    <t>Adjust scenario, nonprofit pricing, capacity packs, and budget ceiling.</t>
  </si>
  <si>
    <t>Assumption</t>
  </si>
  <si>
    <t>Notes</t>
  </si>
  <si>
    <t>Selected Scenario</t>
  </si>
  <si>
    <t>Pilot</t>
  </si>
  <si>
    <t>Dropdown: Pilot or Enterprise. Drives calculations throughout workbook.</t>
  </si>
  <si>
    <t>M365 Copilot nonprofit price / user / month</t>
  </si>
  <si>
    <t>Eligible nonprofit Microsoft 365 Copilot assumption; validate against your CSP pricing.</t>
  </si>
  <si>
    <t>Standard M365 Copilot price / user / month</t>
  </si>
  <si>
    <t>Commercial reference only.</t>
  </si>
  <si>
    <t>PAYG cost per Copilot Credit</t>
  </si>
  <si>
    <t>Pay-as-you-go credit rate assumption.</t>
  </si>
  <si>
    <t>Capacity pack credits / month</t>
  </si>
  <si>
    <t>Prepaid capacity pack size.</t>
  </si>
  <si>
    <t>Capacity pack cost / month</t>
  </si>
  <si>
    <t>Prepaid capacity pack cost assumption.</t>
  </si>
  <si>
    <t>Organization-defined monthly ceiling for agent spend.</t>
  </si>
  <si>
    <t>Budget caution threshold</t>
  </si>
  <si>
    <t>Turns yellow when projected spend reaches this percent of ceiling.</t>
  </si>
  <si>
    <t>Default pilot employee seats</t>
  </si>
  <si>
    <t>Used for M365 Copilot comparison in pilot scenario.</t>
  </si>
  <si>
    <t>Default enterprise employee seats</t>
  </si>
  <si>
    <t>Used for M365 Copilot comparison in enterprise scenario.</t>
  </si>
  <si>
    <t>Default monthly business days</t>
  </si>
  <si>
    <t>Optional internal usage assumption.</t>
  </si>
  <si>
    <t>Model caveat</t>
  </si>
  <si>
    <t>Planning tool only. Actual billing depends on Microsoft licensing terms, your organization eligibility, tenant configuration, agent design, usage, and final CSP/Microsoft pricing.</t>
  </si>
  <si>
    <t>Cost Tier Reference</t>
  </si>
  <si>
    <t>Low / Medium / High presets convert use-case complexity into planning assumptions.</t>
  </si>
  <si>
    <t>Tier</t>
  </si>
  <si>
    <t>Planning Credits / Interaction</t>
  </si>
  <si>
    <t>Typical Pattern</t>
  </si>
  <si>
    <t>Example Use Cases</t>
  </si>
  <si>
    <t>Low</t>
  </si>
  <si>
    <t>Simple FAQ or limited generative response</t>
  </si>
  <si>
    <t>Basic policy Q&amp;A, office hours, static resource lookup</t>
  </si>
  <si>
    <t>Avoid system actions and broad grounding.</t>
  </si>
  <si>
    <t>Generative answer plus tenant knowledge grounding</t>
  </si>
  <si>
    <t>Internal HR/IT Q&amp;A, document-grounded answers</t>
  </si>
  <si>
    <t>Roughly maps to generated answer plus grounding.</t>
  </si>
  <si>
    <t>High</t>
  </si>
  <si>
    <t>Grounded response plus actions/integrations</t>
  </si>
  <si>
    <t>Maintenance intake, application status lookup, ticket creation</t>
  </si>
  <si>
    <t>Actions and multi-system workflows raise cost.</t>
  </si>
  <si>
    <t>Custom</t>
  </si>
  <si>
    <t>User-entered</t>
  </si>
  <si>
    <t>Use after detailed design estimate</t>
  </si>
  <si>
    <t>Any validated workload</t>
  </si>
  <si>
    <t>Enter custom credits in Project Evaluator.</t>
  </si>
  <si>
    <t>Credit-rate components for design discussion</t>
  </si>
  <si>
    <t>Component</t>
  </si>
  <si>
    <t>Credits</t>
  </si>
  <si>
    <t>How it affects cost</t>
  </si>
  <si>
    <t>Classic answer</t>
  </si>
  <si>
    <t>Lowest-cost structured answer pattern.</t>
  </si>
  <si>
    <t>Generative answer</t>
  </si>
  <si>
    <t>AI-generated response.</t>
  </si>
  <si>
    <t>Tenant graph grounding</t>
  </si>
  <si>
    <t>Retrieving organizational data/tenant content.</t>
  </si>
  <si>
    <t>Agent action</t>
  </si>
  <si>
    <t>Calling a tool/action such as creating or updating a record.</t>
  </si>
  <si>
    <t>Agent flow actions</t>
  </si>
  <si>
    <t>13 per 100 actions</t>
  </si>
  <si>
    <t>Flow action charges can stack with user volume.</t>
  </si>
  <si>
    <t>Premium AI tools</t>
  </si>
  <si>
    <t>Up to 100 per 10 responses</t>
  </si>
  <si>
    <t>Advanced AI tools materially change assumptions.</t>
  </si>
  <si>
    <t>Project Evaluator</t>
  </si>
  <si>
    <t>Evaluate each proposed employee AI project before build approval.</t>
  </si>
  <si>
    <t>Project ID</t>
  </si>
  <si>
    <t>Use Case</t>
  </si>
  <si>
    <t>Include?</t>
  </si>
  <si>
    <t>Audience</t>
  </si>
  <si>
    <t>Complexity Preset</t>
  </si>
  <si>
    <t>Custom Credits / Interaction</t>
  </si>
  <si>
    <t>Applied Credits / Interaction</t>
  </si>
  <si>
    <t>Pilot Users/Sessions</t>
  </si>
  <si>
    <t>Pilot Interactions/Session</t>
  </si>
  <si>
    <t>Pilot Credits</t>
  </si>
  <si>
    <t>Pilot PAYG Cost</t>
  </si>
  <si>
    <t>Enterprise Users/Sessions</t>
  </si>
  <si>
    <t>Enterprise Interactions/Session</t>
  </si>
  <si>
    <t>Enterprise Credits</t>
  </si>
  <si>
    <t>Enterprise PAYG Cost</t>
  </si>
  <si>
    <t>Active Scenario Credits</t>
  </si>
  <si>
    <t>Active PAYG Cost</t>
  </si>
  <si>
    <t>Packs Required</t>
  </si>
  <si>
    <t>Pack Cost</t>
  </si>
  <si>
    <t>Recommended Billing</t>
  </si>
  <si>
    <t>Budget Risk</t>
  </si>
  <si>
    <t>Decision Guidance</t>
  </si>
  <si>
    <t>Owner/Notes</t>
  </si>
  <si>
    <t>P-001</t>
  </si>
  <si>
    <t>Internal HR / policy knowledge assistant</t>
  </si>
  <si>
    <t>Yes</t>
  </si>
  <si>
    <t>Internal Licensed Employees</t>
  </si>
  <si>
    <t>Pilot candidate - validate adoption and answers before scaling.</t>
  </si>
  <si>
    <t>P-002</t>
  </si>
  <si>
    <t>Resident website FAQ chatbot</t>
  </si>
  <si>
    <t>External Residents/Public</t>
  </si>
  <si>
    <t>External usage needs cost ceiling before publish.</t>
  </si>
  <si>
    <t>P-003</t>
  </si>
  <si>
    <t>Maintenance request intake agent</t>
  </si>
  <si>
    <t>Action-based workflow; watch integrations/system actions.</t>
  </si>
  <si>
    <t>P-004</t>
  </si>
  <si>
    <t>IT internal ticket triage agent</t>
  </si>
  <si>
    <t>No</t>
  </si>
  <si>
    <t>Internal Mixed</t>
  </si>
  <si>
    <t>Not included until system integration is defined.</t>
  </si>
  <si>
    <t>P-005</t>
  </si>
  <si>
    <t>Grant reporting content assistant</t>
  </si>
  <si>
    <t>May be better served by M365 Copilot if employee-centric.</t>
  </si>
  <si>
    <t>Pack vs PAYG Comparison</t>
  </si>
  <si>
    <t>Compares pay-as-you-go to prepaid capacity packs across usage levels.</t>
  </si>
  <si>
    <t>Monthly Credits</t>
  </si>
  <si>
    <t>PAYG Cost</t>
  </si>
  <si>
    <t>Cheaper Model</t>
  </si>
  <si>
    <t>Savings vs Higher Option</t>
  </si>
  <si>
    <t>Comments</t>
  </si>
  <si>
    <t>Break-Even Analysis</t>
  </si>
  <si>
    <t>Shows when M365 Copilot broad licensing becomes cheaper/more expensive than modeled agent run-cost.</t>
  </si>
  <si>
    <t>Sensitivity: Copilot seats vs discounted license cost</t>
  </si>
  <si>
    <t>Seats</t>
  </si>
  <si>
    <t>Copilot Cost</t>
  </si>
  <si>
    <t>Equivalent Credits @ PAYG</t>
  </si>
  <si>
    <t>Modeled employees</t>
  </si>
  <si>
    <t>Monthly credit spend equivalent to licensing this many users</t>
  </si>
  <si>
    <t>M365 Copilot nonprofit monthly cost</t>
  </si>
  <si>
    <t>Active agent credits</t>
  </si>
  <si>
    <t>Agent PAYG cost</t>
  </si>
  <si>
    <t>Agent pack cost</t>
  </si>
  <si>
    <t>Recommended agent run-cost</t>
  </si>
  <si>
    <t>Break-even credits at full Copilot licensing cost</t>
  </si>
  <si>
    <t>Break-even employee licenses at current agent run-cost</t>
  </si>
  <si>
    <t>Budget Guardrails</t>
  </si>
  <si>
    <t>Spending controls and cap design for AI projects.</t>
  </si>
  <si>
    <t>Control</t>
  </si>
  <si>
    <t>Value / Status</t>
  </si>
  <si>
    <t>Why it matters</t>
  </si>
  <si>
    <t>Suggested CSP action</t>
  </si>
  <si>
    <t>Global monthly budget ceiling</t>
  </si>
  <si>
    <t>Leadership-defined cap for projected agent run-cost.</t>
  </si>
  <si>
    <t>Set before approving production pilots.</t>
  </si>
  <si>
    <t>Projected recommended agent spend</t>
  </si>
  <si>
    <t>Uses cheaper of PAYG vs capacity packs.</t>
  </si>
  <si>
    <t>Review against ceiling; do not publish if over budget.</t>
  </si>
  <si>
    <t>Flags whether modeled spend exceeds or approaches ceiling.</t>
  </si>
  <si>
    <t>Escalate if over ceiling; tune volume, complexity, or rollout scope.</t>
  </si>
  <si>
    <t>Hard cap approach</t>
  </si>
  <si>
    <t>Capacity packs only</t>
  </si>
  <si>
    <t>Helps control spend; may impact continuity when credits are exhausted.</t>
  </si>
  <si>
    <t>Use for strict pilot governance.</t>
  </si>
  <si>
    <t>Continuity approach</t>
  </si>
  <si>
    <t>Capacity packs + PAYG</t>
  </si>
  <si>
    <t>Adds overage handling when usage exceeds pack capacity.</t>
  </si>
  <si>
    <t>Use only with alerts and owner approval.</t>
  </si>
  <si>
    <t>Pilot requirement</t>
  </si>
  <si>
    <t>Every project must have owner, audience, tier, and volume</t>
  </si>
  <si>
    <t>Prevents vague estimates from reaching production.</t>
  </si>
  <si>
    <t>Use Project Evaluator as intake gate.</t>
  </si>
  <si>
    <t>Pre-Approval Risk Checklist</t>
  </si>
  <si>
    <t>Question</t>
  </si>
  <si>
    <t>Pass/Fail</t>
  </si>
  <si>
    <t>Rationale</t>
  </si>
  <si>
    <t>Is the audience internal licensed users, internal unlicensed users, external residents/public, or mixed?</t>
  </si>
  <si>
    <t>Audience changes cost behavior and governance.</t>
  </si>
  <si>
    <t>Is this simple Q&amp;A or action/integration workflow?</t>
  </si>
  <si>
    <t>Actions and grounding increase credits per interaction.</t>
  </si>
  <si>
    <t>Is expected monthly traffic known?</t>
  </si>
  <si>
    <t>Volume is a major budget driver.</t>
  </si>
  <si>
    <t>Does the project have an owner and approval path?</t>
  </si>
  <si>
    <t>Avoid unmanaged agent sprawl.</t>
  </si>
  <si>
    <t>Is hard cap required or is PAYG overage acceptable?</t>
  </si>
  <si>
    <t>Determines pack-only vs pack plus PAYG design.</t>
  </si>
  <si>
    <t>Scenario Guide</t>
  </si>
  <si>
    <t>How to use Pilot vs Enterprise scenarios when evaluating small AI projects.</t>
  </si>
  <si>
    <t>Scenario</t>
  </si>
  <si>
    <t>When to use</t>
  </si>
  <si>
    <t>Typical decision question</t>
  </si>
  <si>
    <t>Recommended action</t>
  </si>
  <si>
    <t>Controlled users/sessions and limited integrations.</t>
  </si>
  <si>
    <t>Can this create value without exceeding a small monthly cap?</t>
  </si>
  <si>
    <t>Use PAYG or one pack; keep usage bounded.</t>
  </si>
  <si>
    <t>Enterprise</t>
  </si>
  <si>
    <t>Scaled rollout across departments or resident-facing channels.</t>
  </si>
  <si>
    <t>Does this need packs, PAYG overage, or redesign to stay affordable?</t>
  </si>
  <si>
    <t>Use Project Evaluator + Budget Guardrails before production.</t>
  </si>
  <si>
    <t>Decision rule of thumb</t>
  </si>
  <si>
    <t>If the project primarily improves employee productivity inside Microsoft 365, compare against M365 Copilot licensing. If the project serves external users or automates a defined process, model it as a Copilot Agent credit-consuming project.</t>
  </si>
  <si>
    <t>Sources &amp; Notes</t>
  </si>
  <si>
    <t>Reference links and caveats for leadership review.</t>
  </si>
  <si>
    <t>Area</t>
  </si>
  <si>
    <t>Model Assumption</t>
  </si>
  <si>
    <t>Source / Note</t>
  </si>
  <si>
    <t>Copilot Studio credits</t>
  </si>
  <si>
    <t>Copilot Credits measure agent usage and vary by design, frequency, and features used.</t>
  </si>
  <si>
    <t>Microsoft Learn: Billing rates and management - Microsoft Copilot Studio</t>
  </si>
  <si>
    <t>Credit-rate components</t>
  </si>
  <si>
    <t>Classic answer, generative answer, tenant graph grounding, agent action, and AI tools have different credit rates.</t>
  </si>
  <si>
    <t>Billing options</t>
  </si>
  <si>
    <t>Copilot Credits can be purchased through PAYG meters, prepurchase plans, and prepaid pack subscriptions.</t>
  </si>
  <si>
    <t>Microsoft Learn: Copilot Studio licensing</t>
  </si>
  <si>
    <t>Capacity packs</t>
  </si>
  <si>
    <t>Capacity packs provide 25,000 credits per month per pack.</t>
  </si>
  <si>
    <t>Microsoft Learn: Use Copilot Studio prepaid capacity packs</t>
  </si>
  <si>
    <t>Nonprofit Copilot price</t>
  </si>
  <si>
    <t>Eligible nonprofit Microsoft 365 Copilot price noted as $25.50/user/month.</t>
  </si>
  <si>
    <t>Microsoft Tech Community: nonprofit Microsoft 365 Copilot discount</t>
  </si>
  <si>
    <t>Caveat</t>
  </si>
  <si>
    <t>Validate final numbers against your organization's Microsoft nonprofit eligibility, CSP price sheet, and Microsoft account team before quote/commitment.</t>
  </si>
  <si>
    <t>Model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</si>
</sst>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3" formatCode="_(* #,##0.00_);_(* \(#,##0.00\);_(* &quot;-&quot;??_);_(@_)"/>
    <numFmt numFmtId="164" formatCode="\$#,##0.00"/>
    <numFmt numFmtId="165" formatCode="\$0.0000"/>
    <numFmt numFmtId="166" formatCode="_-* #,##0_-;\-* #,##0_-;_-* &quot;-&quot;??_-;_-@_-"/>
    <numFmt numFmtId="167" formatCode="_-* #,##0.00_-;\-* #,##0.00_-;_-* &quot;-&quot;??_-;_-@_-"/>
    <numFmt numFmtId="168" formatCode="&quot;$&quot;#,##0.00"/>
  </numFmts>
  <fonts count="19">
    <font>
      <sz val="11"/>
      <color theme="1"/>
      <name val="Calibri"/>
      <family val="2"/>
      <scheme val="minor"/>
    </font>
    <font>
      <b/>
      <sz val="18"/>
      <color rgb="FFFFFFFF"/>
      <name val="Calibri"/>
      <family val="2"/>
    </font>
    <font>
      <i/>
      <sz val="11"/>
      <color rgb="FF595959"/>
      <name val="Calibri"/>
      <family val="2"/>
    </font>
    <font>
      <b/>
      <sz val="11"/>
      <color rgb="FFFFFFFF"/>
      <name val="Calibri"/>
      <family val="2"/>
    </font>
    <font>
      <b/>
      <sz val="11"/>
      <name val="Calibri"/>
      <family val="2"/>
    </font>
    <font>
      <b/>
      <sz val="11"/>
      <color rgb="FF1F4E78"/>
      <name val="Calibri"/>
      <family val="2"/>
    </font>
    <font>
      <sz val="12"/>
      <color theme="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i/>
      <sz val="8"/>
      <color theme="1"/>
      <name val="Calibri"/>
      <family val="2"/>
      <scheme val="minor"/>
    </font>
    <font>
      <b/>
      <sz val="11"/>
      <name val="Calibri"/>
      <family val="2"/>
      <scheme val="minor"/>
    </font>
    <font>
      <i/>
      <sz val="8"/>
      <color theme="0"/>
      <name val="Calibri"/>
      <family val="2"/>
      <scheme val="minor"/>
    </font>
    <font>
      <b/>
      <vertAlign val="superscript"/>
      <sz val="11"/>
      <color theme="0"/>
      <name val="Calibri"/>
      <family val="2"/>
      <scheme val="minor"/>
    </font>
    <font>
      <b/>
      <vertAlign val="superscript"/>
      <sz val="11"/>
      <color theme="1"/>
      <name val="Calibri"/>
      <family val="2"/>
      <scheme val="minor"/>
    </font>
    <font>
      <sz val="9"/>
      <color theme="1"/>
      <name val="Calibri"/>
      <family val="2"/>
      <scheme val="minor"/>
    </font>
    <font>
      <vertAlign val="superscript"/>
      <sz val="9"/>
      <color theme="1"/>
      <name val="Calibri"/>
      <family val="2"/>
      <scheme val="minor"/>
    </font>
  </fonts>
  <fills count="11">
    <fill>
      <patternFill patternType="none"/>
    </fill>
    <fill>
      <patternFill patternType="gray125"/>
    </fill>
    <fill>
      <patternFill patternType="solid">
        <fgColor rgb="FF1F4E78"/>
      </patternFill>
    </fill>
    <fill>
      <patternFill patternType="solid">
        <fgColor rgb="FFD9EAF7"/>
      </patternFill>
    </fill>
    <fill>
      <patternFill patternType="solid">
        <fgColor rgb="FFFFF2CC"/>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9" tint="0.59999389629810485"/>
        <bgColor indexed="64"/>
      </patternFill>
    </fill>
    <fill>
      <patternFill patternType="solid">
        <fgColor theme="9" tint="0.79998168889431442"/>
        <bgColor indexed="64"/>
      </patternFill>
    </fill>
  </fills>
  <borders count="8">
    <border>
      <left/>
      <right/>
      <top/>
      <bottom/>
      <diagonal/>
    </border>
    <border>
      <left style="thin">
        <color rgb="FFD9D9D9"/>
      </left>
      <right style="thin">
        <color rgb="FFD9D9D9"/>
      </right>
      <top style="thin">
        <color rgb="FFD9D9D9"/>
      </top>
      <bottom style="thin">
        <color rgb="FFD9D9D9"/>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0" fontId="6" fillId="0" borderId="0"/>
    <xf numFmtId="43" fontId="7" fillId="0" borderId="0" applyFont="0" applyFill="0" applyBorder="0" applyAlignment="0" applyProtection="0"/>
  </cellStyleXfs>
  <cellXfs count="73">
    <xf numFmtId="0" fontId="0" fillId="0" borderId="0" xfId="0"/>
    <xf numFmtId="0" fontId="3" fillId="2" borderId="1" xfId="0" applyFont="1" applyFill="1" applyBorder="1" applyAlignment="1">
      <alignment horizontal="center" vertical="center" wrapText="1"/>
    </xf>
    <xf numFmtId="0" fontId="0" fillId="0" borderId="1" xfId="0" applyBorder="1" applyAlignment="1">
      <alignment vertical="top" wrapText="1"/>
    </xf>
    <xf numFmtId="0" fontId="4" fillId="0" borderId="1" xfId="0" applyFont="1" applyBorder="1" applyAlignment="1">
      <alignment vertical="top" wrapText="1"/>
    </xf>
    <xf numFmtId="3" fontId="0" fillId="0" borderId="1" xfId="0" applyNumberFormat="1" applyBorder="1" applyAlignment="1">
      <alignment vertical="top" wrapText="1"/>
    </xf>
    <xf numFmtId="164" fontId="0" fillId="0" borderId="1" xfId="0" applyNumberFormat="1" applyBorder="1" applyAlignment="1">
      <alignment vertical="top" wrapText="1"/>
    </xf>
    <xf numFmtId="9" fontId="0" fillId="0" borderId="1" xfId="0" applyNumberFormat="1" applyBorder="1" applyAlignment="1">
      <alignment vertical="top" wrapText="1"/>
    </xf>
    <xf numFmtId="0" fontId="5" fillId="0" borderId="0" xfId="0" applyFont="1"/>
    <xf numFmtId="0" fontId="0" fillId="0" borderId="1" xfId="0" applyBorder="1"/>
    <xf numFmtId="164" fontId="0" fillId="0" borderId="1" xfId="0" applyNumberFormat="1" applyBorder="1"/>
    <xf numFmtId="0" fontId="0" fillId="3" borderId="1" xfId="0" applyFill="1" applyBorder="1" applyAlignment="1">
      <alignment vertical="top" wrapText="1"/>
    </xf>
    <xf numFmtId="164" fontId="0" fillId="3" borderId="1" xfId="0" applyNumberFormat="1" applyFill="1" applyBorder="1" applyAlignment="1">
      <alignment vertical="top" wrapText="1"/>
    </xf>
    <xf numFmtId="165" fontId="0" fillId="3" borderId="1" xfId="0" applyNumberFormat="1" applyFill="1" applyBorder="1" applyAlignment="1">
      <alignment vertical="top" wrapText="1"/>
    </xf>
    <xf numFmtId="3" fontId="0" fillId="3" borderId="1" xfId="0" applyNumberFormat="1" applyFill="1" applyBorder="1" applyAlignment="1">
      <alignment vertical="top" wrapText="1"/>
    </xf>
    <xf numFmtId="9" fontId="0" fillId="3" borderId="1" xfId="0" applyNumberFormat="1" applyFill="1" applyBorder="1" applyAlignment="1">
      <alignment vertical="top" wrapText="1"/>
    </xf>
    <xf numFmtId="0" fontId="4" fillId="0" borderId="0" xfId="0" applyFont="1"/>
    <xf numFmtId="0" fontId="3" fillId="2" borderId="1" xfId="0" applyFont="1" applyFill="1" applyBorder="1" applyAlignment="1">
      <alignment vertical="top" wrapText="1"/>
    </xf>
    <xf numFmtId="0" fontId="0" fillId="4" borderId="1" xfId="0" applyFill="1" applyBorder="1" applyAlignment="1">
      <alignment vertical="top" wrapText="1"/>
    </xf>
    <xf numFmtId="0" fontId="0" fillId="0" borderId="1" xfId="0" applyBorder="1" applyAlignment="1">
      <alignment wrapText="1"/>
    </xf>
    <xf numFmtId="164" fontId="0" fillId="0" borderId="1" xfId="0" applyNumberFormat="1" applyBorder="1" applyAlignment="1">
      <alignment wrapText="1"/>
    </xf>
    <xf numFmtId="3" fontId="0" fillId="0" borderId="1" xfId="0" applyNumberFormat="1" applyBorder="1" applyAlignment="1">
      <alignment wrapText="1"/>
    </xf>
    <xf numFmtId="0" fontId="6" fillId="0" borderId="0" xfId="1"/>
    <xf numFmtId="0" fontId="0" fillId="0" borderId="0" xfId="0" applyAlignment="1">
      <alignment horizontal="center" vertical="center"/>
    </xf>
    <xf numFmtId="0" fontId="0" fillId="0" borderId="0" xfId="0" applyAlignment="1">
      <alignment vertical="center"/>
    </xf>
    <xf numFmtId="0" fontId="0" fillId="5" borderId="0" xfId="0" applyFill="1" applyAlignment="1">
      <alignment vertical="center"/>
    </xf>
    <xf numFmtId="0" fontId="0" fillId="6" borderId="0" xfId="0" applyFill="1" applyAlignment="1">
      <alignment vertical="center"/>
    </xf>
    <xf numFmtId="0" fontId="9" fillId="0" borderId="0" xfId="0" applyFont="1" applyAlignment="1">
      <alignment horizontal="center" vertical="center"/>
    </xf>
    <xf numFmtId="0" fontId="0" fillId="5" borderId="0" xfId="0" applyFill="1" applyAlignment="1">
      <alignment horizontal="center" vertical="center"/>
    </xf>
    <xf numFmtId="166" fontId="0" fillId="5" borderId="0" xfId="2" applyNumberFormat="1" applyFont="1" applyFill="1" applyBorder="1" applyAlignment="1">
      <alignment vertical="center"/>
    </xf>
    <xf numFmtId="0" fontId="10"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horizontal="center" vertical="center"/>
    </xf>
    <xf numFmtId="0" fontId="11" fillId="5" borderId="0" xfId="0" applyFont="1" applyFill="1" applyAlignment="1">
      <alignment vertical="center"/>
    </xf>
    <xf numFmtId="0" fontId="11" fillId="6" borderId="0" xfId="0" applyFont="1" applyFill="1" applyAlignment="1">
      <alignment vertical="center"/>
    </xf>
    <xf numFmtId="0" fontId="8" fillId="7" borderId="2" xfId="0" applyFont="1" applyFill="1" applyBorder="1" applyAlignment="1">
      <alignment vertical="center"/>
    </xf>
    <xf numFmtId="0" fontId="8" fillId="8" borderId="3" xfId="0" applyFont="1" applyFill="1" applyBorder="1" applyAlignment="1">
      <alignment horizontal="center" vertical="center"/>
    </xf>
    <xf numFmtId="0" fontId="0" fillId="0" borderId="4" xfId="0" applyBorder="1" applyAlignment="1">
      <alignment vertical="center"/>
    </xf>
    <xf numFmtId="3" fontId="0" fillId="6" borderId="5" xfId="2" applyNumberFormat="1" applyFont="1" applyFill="1" applyBorder="1" applyAlignment="1" applyProtection="1">
      <alignment horizontal="center" vertical="center"/>
      <protection locked="0"/>
    </xf>
    <xf numFmtId="0" fontId="0" fillId="0" borderId="5" xfId="0" applyBorder="1" applyAlignment="1">
      <alignment vertical="center"/>
    </xf>
    <xf numFmtId="166" fontId="0" fillId="0" borderId="0" xfId="2" applyNumberFormat="1" applyFont="1" applyFill="1" applyBorder="1" applyAlignment="1">
      <alignment vertical="center"/>
    </xf>
    <xf numFmtId="0" fontId="12" fillId="0" borderId="0" xfId="0" applyFont="1" applyAlignment="1">
      <alignment vertical="top"/>
    </xf>
    <xf numFmtId="0" fontId="8" fillId="7" borderId="0" xfId="0" applyFont="1" applyFill="1" applyAlignment="1">
      <alignment vertical="center"/>
    </xf>
    <xf numFmtId="0" fontId="8" fillId="8" borderId="5" xfId="0" applyFont="1" applyFill="1" applyBorder="1" applyAlignment="1">
      <alignment horizontal="center" vertical="center"/>
    </xf>
    <xf numFmtId="0" fontId="14" fillId="8" borderId="3" xfId="0" applyFont="1" applyFill="1" applyBorder="1" applyAlignment="1">
      <alignment horizontal="center" vertical="center" wrapText="1"/>
    </xf>
    <xf numFmtId="1" fontId="0" fillId="6" borderId="5" xfId="0" applyNumberFormat="1" applyFill="1" applyBorder="1" applyAlignment="1" applyProtection="1">
      <alignment horizontal="center" vertical="center"/>
      <protection locked="0"/>
    </xf>
    <xf numFmtId="3" fontId="0" fillId="10" borderId="5" xfId="0" applyNumberFormat="1" applyFill="1" applyBorder="1" applyAlignment="1">
      <alignment horizontal="center" vertical="center"/>
    </xf>
    <xf numFmtId="0" fontId="9" fillId="5" borderId="0" xfId="0" applyFont="1" applyFill="1" applyAlignment="1">
      <alignment vertical="center"/>
    </xf>
    <xf numFmtId="0" fontId="9" fillId="0" borderId="0" xfId="0" applyFont="1" applyAlignment="1">
      <alignment vertical="center"/>
    </xf>
    <xf numFmtId="1" fontId="0" fillId="6" borderId="5" xfId="0" applyNumberFormat="1" applyFill="1" applyBorder="1" applyAlignment="1">
      <alignment horizontal="center" vertical="center"/>
    </xf>
    <xf numFmtId="0" fontId="9" fillId="0" borderId="5" xfId="0" applyFont="1" applyBorder="1" applyAlignment="1">
      <alignment vertical="center"/>
    </xf>
    <xf numFmtId="166" fontId="9" fillId="0" borderId="5" xfId="0" applyNumberFormat="1" applyFont="1" applyBorder="1" applyAlignment="1">
      <alignment vertical="center"/>
    </xf>
    <xf numFmtId="0" fontId="9" fillId="0" borderId="5" xfId="0" applyFont="1" applyBorder="1" applyAlignment="1">
      <alignment vertical="center" wrapText="1"/>
    </xf>
    <xf numFmtId="6" fontId="9" fillId="0" borderId="5" xfId="0" applyNumberFormat="1" applyFont="1" applyBorder="1" applyAlignment="1">
      <alignment vertical="center"/>
    </xf>
    <xf numFmtId="167" fontId="0" fillId="0" borderId="0" xfId="0" applyNumberFormat="1" applyAlignment="1">
      <alignment vertical="center"/>
    </xf>
    <xf numFmtId="168" fontId="9" fillId="0" borderId="5" xfId="0" applyNumberFormat="1" applyFont="1" applyBorder="1" applyAlignment="1">
      <alignment vertical="center"/>
    </xf>
    <xf numFmtId="168" fontId="9" fillId="0" borderId="0" xfId="0" applyNumberFormat="1" applyFont="1" applyAlignment="1">
      <alignment vertical="center"/>
    </xf>
    <xf numFmtId="6" fontId="0" fillId="0" borderId="0" xfId="0" applyNumberFormat="1" applyAlignment="1">
      <alignment vertical="center"/>
    </xf>
    <xf numFmtId="6" fontId="0" fillId="0" borderId="0" xfId="0" applyNumberFormat="1" applyAlignment="1">
      <alignment horizontal="center" vertical="center"/>
    </xf>
    <xf numFmtId="0" fontId="0" fillId="6" borderId="0" xfId="0" applyFill="1" applyAlignment="1">
      <alignment horizontal="center" vertical="center"/>
    </xf>
    <xf numFmtId="0" fontId="0" fillId="0" borderId="1" xfId="0" applyBorder="1" applyAlignment="1">
      <alignment vertical="top" wrapText="1"/>
    </xf>
    <xf numFmtId="0" fontId="17" fillId="0" borderId="0" xfId="0" applyFont="1" applyAlignment="1">
      <alignment horizontal="left" vertical="center" wrapText="1"/>
    </xf>
    <xf numFmtId="0" fontId="0" fillId="0" borderId="0" xfId="0" applyAlignment="1">
      <alignment horizontal="left" vertical="center" wrapText="1"/>
    </xf>
    <xf numFmtId="0" fontId="10" fillId="0" borderId="0" xfId="0" applyFont="1" applyAlignment="1">
      <alignment horizontal="left" vertical="center"/>
    </xf>
    <xf numFmtId="0" fontId="13" fillId="9" borderId="6"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8" fillId="8" borderId="3" xfId="0" applyFont="1" applyFill="1" applyBorder="1" applyAlignment="1">
      <alignment horizontal="center" vertical="center"/>
    </xf>
    <xf numFmtId="0" fontId="8" fillId="8" borderId="7" xfId="0" applyFont="1" applyFill="1" applyBorder="1" applyAlignment="1">
      <alignment horizontal="center" vertical="center"/>
    </xf>
    <xf numFmtId="0" fontId="0" fillId="0" borderId="0" xfId="0" applyAlignment="1">
      <alignment wrapText="1"/>
    </xf>
    <xf numFmtId="0" fontId="1" fillId="2" borderId="0" xfId="0" applyFont="1" applyFill="1" applyAlignment="1"/>
    <xf numFmtId="0" fontId="0" fillId="0" borderId="0" xfId="0" applyAlignment="1"/>
    <xf numFmtId="0" fontId="2" fillId="0" borderId="0" xfId="0" applyFont="1" applyAlignment="1"/>
    <xf numFmtId="0" fontId="3" fillId="2" borderId="0" xfId="0" applyFont="1" applyFill="1" applyAlignment="1"/>
  </cellXfs>
  <cellStyles count="3">
    <cellStyle name="Comma" xfId="2" builtinId="3"/>
    <cellStyle name="Hyperlink" xfId="1" builtinId="8"/>
    <cellStyle name="Normal" xfId="0" builtinId="0"/>
  </cellStyles>
  <dxfs count="9">
    <dxf>
      <fill>
        <patternFill patternType="solid">
          <fgColor rgb="FFE2F0D9"/>
        </patternFill>
      </fill>
    </dxf>
    <dxf>
      <fill>
        <patternFill patternType="solid">
          <fgColor rgb="FFFFD966"/>
        </patternFill>
      </fill>
    </dxf>
    <dxf>
      <fill>
        <patternFill patternType="solid">
          <fgColor rgb="FFFCE4D6"/>
        </patternFill>
      </fill>
    </dxf>
    <dxf>
      <fill>
        <patternFill patternType="solid">
          <fgColor rgb="FFE2F0D9"/>
        </patternFill>
      </fill>
    </dxf>
    <dxf>
      <fill>
        <patternFill patternType="solid">
          <fgColor rgb="FFFFD966"/>
        </patternFill>
      </fill>
    </dxf>
    <dxf>
      <fill>
        <patternFill patternType="solid">
          <fgColor rgb="FFFCE4D6"/>
        </patternFill>
      </fill>
    </dxf>
    <dxf>
      <fill>
        <patternFill patternType="solid">
          <fgColor rgb="FFE2F0D9"/>
        </patternFill>
      </fill>
    </dxf>
    <dxf>
      <fill>
        <patternFill patternType="solid">
          <fgColor rgb="FFFFD966"/>
        </patternFill>
      </fill>
    </dxf>
    <dxf>
      <fill>
        <patternFill patternType="solid">
          <fgColor rgb="FFFCE4D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Monthly Cost Comparison</a:t>
            </a:r>
          </a:p>
        </c:rich>
      </c:tx>
      <c:overlay val="1"/>
    </c:title>
    <c:autoTitleDeleted val="0"/>
    <c:plotArea>
      <c:layout/>
      <c:barChart>
        <c:barDir val="col"/>
        <c:grouping val="clustered"/>
        <c:varyColors val="1"/>
        <c:ser>
          <c:idx val="0"/>
          <c:order val="0"/>
          <c:tx>
            <c:strRef>
              <c:f>'Executive Dashboard'!$B$23</c:f>
              <c:strCache>
                <c:ptCount val="1"/>
                <c:pt idx="0">
                  <c:v>Monthly Cost</c:v>
                </c:pt>
              </c:strCache>
            </c:strRef>
          </c:tx>
          <c:spPr>
            <a:ln>
              <a:prstDash val="solid"/>
            </a:ln>
          </c:spPr>
          <c:invertIfNegative val="1"/>
          <c:cat>
            <c:strRef>
              <c:f>'Executive Dashboard'!$A$24:$A$26</c:f>
              <c:strCache>
                <c:ptCount val="3"/>
                <c:pt idx="0">
                  <c:v>M365 Copilot</c:v>
                </c:pt>
                <c:pt idx="1">
                  <c:v>Agent PAYG</c:v>
                </c:pt>
                <c:pt idx="2">
                  <c:v>Agent Capacity Packs</c:v>
                </c:pt>
              </c:strCache>
            </c:strRef>
          </c:cat>
          <c:val>
            <c:numRef>
              <c:f>'Executive Dashboard'!$B$24:$B$26</c:f>
              <c:numCache>
                <c:formatCode>\$#,##0.00</c:formatCode>
                <c:ptCount val="3"/>
                <c:pt idx="0">
                  <c:v>637.5</c:v>
                </c:pt>
                <c:pt idx="1">
                  <c:v>642.80000000000007</c:v>
                </c:pt>
                <c:pt idx="2">
                  <c:v>600</c:v>
                </c:pt>
              </c:numCache>
            </c:numRef>
          </c:val>
          <c:extLst>
            <c:ext xmlns:c16="http://schemas.microsoft.com/office/drawing/2014/chart" uri="{C3380CC4-5D6E-409C-BE32-E72D297353CC}">
              <c16:uniqueId val="{00000000-A99C-46DA-BE3F-3C9201652262}"/>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title>
          <c:tx>
            <c:rich>
              <a:bodyPr/>
              <a:lstStyle/>
              <a:p>
                <a:pPr>
                  <a:defRPr/>
                </a:pPr>
                <a:r>
                  <a:rPr lang="en-US"/>
                  <a:t>Model</a:t>
                </a:r>
              </a:p>
            </c:rich>
          </c:tx>
          <c:overlay val="1"/>
        </c:title>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title>
          <c:tx>
            <c:rich>
              <a:bodyPr/>
              <a:lstStyle/>
              <a:p>
                <a:pPr>
                  <a:defRPr/>
                </a:pPr>
                <a:r>
                  <a:rPr lang="en-US"/>
                  <a:t>Monthly Cost</a:t>
                </a:r>
              </a:p>
            </c:rich>
          </c:tx>
          <c:overlay val="1"/>
        </c:title>
        <c:numFmt formatCode="\$#,##0.00" sourceLinked="1"/>
        <c:majorTickMark val="none"/>
        <c:minorTickMark val="none"/>
        <c:tickLblPos val="nextTo"/>
        <c:crossAx val="10"/>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PAYG vs Capacity Pack Cost Curve</a:t>
            </a:r>
          </a:p>
        </c:rich>
      </c:tx>
      <c:overlay val="1"/>
    </c:title>
    <c:autoTitleDeleted val="0"/>
    <c:plotArea>
      <c:layout/>
      <c:lineChart>
        <c:grouping val="standard"/>
        <c:varyColors val="1"/>
        <c:ser>
          <c:idx val="0"/>
          <c:order val="0"/>
          <c:tx>
            <c:strRef>
              <c:f>'Pack vs PAYG'!$B$4</c:f>
              <c:strCache>
                <c:ptCount val="1"/>
                <c:pt idx="0">
                  <c:v>PAYG Cost</c:v>
                </c:pt>
              </c:strCache>
            </c:strRef>
          </c:tx>
          <c:spPr>
            <a:ln>
              <a:prstDash val="solid"/>
            </a:ln>
          </c:spPr>
          <c:marker>
            <c:symbol val="none"/>
          </c:marker>
          <c:cat>
            <c:numRef>
              <c:f>'Pack vs PAYG'!$A$5:$A$20</c:f>
              <c:numCache>
                <c:formatCode>General</c:formatCode>
                <c:ptCount val="16"/>
                <c:pt idx="0">
                  <c:v>0</c:v>
                </c:pt>
                <c:pt idx="1">
                  <c:v>5000</c:v>
                </c:pt>
                <c:pt idx="2">
                  <c:v>10000</c:v>
                </c:pt>
                <c:pt idx="3">
                  <c:v>15000</c:v>
                </c:pt>
                <c:pt idx="4">
                  <c:v>20000</c:v>
                </c:pt>
                <c:pt idx="5">
                  <c:v>25000</c:v>
                </c:pt>
                <c:pt idx="6">
                  <c:v>30000</c:v>
                </c:pt>
                <c:pt idx="7">
                  <c:v>50000</c:v>
                </c:pt>
                <c:pt idx="8">
                  <c:v>75000</c:v>
                </c:pt>
                <c:pt idx="9">
                  <c:v>100000</c:v>
                </c:pt>
                <c:pt idx="10">
                  <c:v>150000</c:v>
                </c:pt>
                <c:pt idx="11">
                  <c:v>200000</c:v>
                </c:pt>
                <c:pt idx="12">
                  <c:v>300000</c:v>
                </c:pt>
                <c:pt idx="13">
                  <c:v>500000</c:v>
                </c:pt>
                <c:pt idx="14">
                  <c:v>750000</c:v>
                </c:pt>
                <c:pt idx="15">
                  <c:v>1000000</c:v>
                </c:pt>
              </c:numCache>
            </c:numRef>
          </c:cat>
          <c:val>
            <c:numRef>
              <c:f>'Pack vs PAYG'!$B$5:$B$20</c:f>
              <c:numCache>
                <c:formatCode>\$#,##0.00</c:formatCode>
                <c:ptCount val="16"/>
                <c:pt idx="0">
                  <c:v>0</c:v>
                </c:pt>
                <c:pt idx="1">
                  <c:v>50</c:v>
                </c:pt>
                <c:pt idx="2">
                  <c:v>100</c:v>
                </c:pt>
                <c:pt idx="3">
                  <c:v>150</c:v>
                </c:pt>
                <c:pt idx="4">
                  <c:v>200</c:v>
                </c:pt>
                <c:pt idx="5">
                  <c:v>250</c:v>
                </c:pt>
                <c:pt idx="6">
                  <c:v>300</c:v>
                </c:pt>
                <c:pt idx="7">
                  <c:v>500</c:v>
                </c:pt>
                <c:pt idx="8">
                  <c:v>750</c:v>
                </c:pt>
                <c:pt idx="9">
                  <c:v>1000</c:v>
                </c:pt>
                <c:pt idx="10">
                  <c:v>1500</c:v>
                </c:pt>
                <c:pt idx="11">
                  <c:v>2000</c:v>
                </c:pt>
                <c:pt idx="12">
                  <c:v>3000</c:v>
                </c:pt>
                <c:pt idx="13">
                  <c:v>5000</c:v>
                </c:pt>
                <c:pt idx="14">
                  <c:v>7500</c:v>
                </c:pt>
                <c:pt idx="15">
                  <c:v>10000</c:v>
                </c:pt>
              </c:numCache>
            </c:numRef>
          </c:val>
          <c:smooth val="1"/>
          <c:extLst>
            <c:ext xmlns:c16="http://schemas.microsoft.com/office/drawing/2014/chart" uri="{C3380CC4-5D6E-409C-BE32-E72D297353CC}">
              <c16:uniqueId val="{00000000-C1C3-4B80-9EB3-9CC1D61C8B35}"/>
            </c:ext>
          </c:extLst>
        </c:ser>
        <c:ser>
          <c:idx val="1"/>
          <c:order val="1"/>
          <c:tx>
            <c:strRef>
              <c:f>'Pack vs PAYG'!$C$4</c:f>
              <c:strCache>
                <c:ptCount val="1"/>
                <c:pt idx="0">
                  <c:v>Packs Required</c:v>
                </c:pt>
              </c:strCache>
            </c:strRef>
          </c:tx>
          <c:spPr>
            <a:ln>
              <a:prstDash val="solid"/>
            </a:ln>
          </c:spPr>
          <c:marker>
            <c:symbol val="none"/>
          </c:marker>
          <c:cat>
            <c:numRef>
              <c:f>'Pack vs PAYG'!$A$5:$A$20</c:f>
              <c:numCache>
                <c:formatCode>General</c:formatCode>
                <c:ptCount val="16"/>
                <c:pt idx="0">
                  <c:v>0</c:v>
                </c:pt>
                <c:pt idx="1">
                  <c:v>5000</c:v>
                </c:pt>
                <c:pt idx="2">
                  <c:v>10000</c:v>
                </c:pt>
                <c:pt idx="3">
                  <c:v>15000</c:v>
                </c:pt>
                <c:pt idx="4">
                  <c:v>20000</c:v>
                </c:pt>
                <c:pt idx="5">
                  <c:v>25000</c:v>
                </c:pt>
                <c:pt idx="6">
                  <c:v>30000</c:v>
                </c:pt>
                <c:pt idx="7">
                  <c:v>50000</c:v>
                </c:pt>
                <c:pt idx="8">
                  <c:v>75000</c:v>
                </c:pt>
                <c:pt idx="9">
                  <c:v>100000</c:v>
                </c:pt>
                <c:pt idx="10">
                  <c:v>150000</c:v>
                </c:pt>
                <c:pt idx="11">
                  <c:v>200000</c:v>
                </c:pt>
                <c:pt idx="12">
                  <c:v>300000</c:v>
                </c:pt>
                <c:pt idx="13">
                  <c:v>500000</c:v>
                </c:pt>
                <c:pt idx="14">
                  <c:v>750000</c:v>
                </c:pt>
                <c:pt idx="15">
                  <c:v>1000000</c:v>
                </c:pt>
              </c:numCache>
            </c:numRef>
          </c:cat>
          <c:val>
            <c:numRef>
              <c:f>'Pack vs PAYG'!$C$5:$C$20</c:f>
              <c:numCache>
                <c:formatCode>General</c:formatCode>
                <c:ptCount val="16"/>
                <c:pt idx="0">
                  <c:v>0</c:v>
                </c:pt>
                <c:pt idx="1">
                  <c:v>1</c:v>
                </c:pt>
                <c:pt idx="2">
                  <c:v>1</c:v>
                </c:pt>
                <c:pt idx="3">
                  <c:v>1</c:v>
                </c:pt>
                <c:pt idx="4">
                  <c:v>1</c:v>
                </c:pt>
                <c:pt idx="5">
                  <c:v>1</c:v>
                </c:pt>
                <c:pt idx="6">
                  <c:v>2</c:v>
                </c:pt>
                <c:pt idx="7">
                  <c:v>2</c:v>
                </c:pt>
                <c:pt idx="8">
                  <c:v>3</c:v>
                </c:pt>
                <c:pt idx="9">
                  <c:v>4</c:v>
                </c:pt>
                <c:pt idx="10">
                  <c:v>6</c:v>
                </c:pt>
                <c:pt idx="11">
                  <c:v>8</c:v>
                </c:pt>
                <c:pt idx="12">
                  <c:v>12</c:v>
                </c:pt>
                <c:pt idx="13">
                  <c:v>20</c:v>
                </c:pt>
                <c:pt idx="14">
                  <c:v>30</c:v>
                </c:pt>
                <c:pt idx="15">
                  <c:v>40</c:v>
                </c:pt>
              </c:numCache>
            </c:numRef>
          </c:val>
          <c:smooth val="1"/>
          <c:extLst>
            <c:ext xmlns:c16="http://schemas.microsoft.com/office/drawing/2014/chart" uri="{C3380CC4-5D6E-409C-BE32-E72D297353CC}">
              <c16:uniqueId val="{00000001-C1C3-4B80-9EB3-9CC1D61C8B35}"/>
            </c:ext>
          </c:extLst>
        </c:ser>
        <c:ser>
          <c:idx val="2"/>
          <c:order val="2"/>
          <c:tx>
            <c:strRef>
              <c:f>'Pack vs PAYG'!$D$4</c:f>
              <c:strCache>
                <c:ptCount val="1"/>
                <c:pt idx="0">
                  <c:v>Pack Cost</c:v>
                </c:pt>
              </c:strCache>
            </c:strRef>
          </c:tx>
          <c:spPr>
            <a:ln>
              <a:prstDash val="solid"/>
            </a:ln>
          </c:spPr>
          <c:marker>
            <c:symbol val="none"/>
          </c:marker>
          <c:cat>
            <c:numRef>
              <c:f>'Pack vs PAYG'!$A$5:$A$20</c:f>
              <c:numCache>
                <c:formatCode>General</c:formatCode>
                <c:ptCount val="16"/>
                <c:pt idx="0">
                  <c:v>0</c:v>
                </c:pt>
                <c:pt idx="1">
                  <c:v>5000</c:v>
                </c:pt>
                <c:pt idx="2">
                  <c:v>10000</c:v>
                </c:pt>
                <c:pt idx="3">
                  <c:v>15000</c:v>
                </c:pt>
                <c:pt idx="4">
                  <c:v>20000</c:v>
                </c:pt>
                <c:pt idx="5">
                  <c:v>25000</c:v>
                </c:pt>
                <c:pt idx="6">
                  <c:v>30000</c:v>
                </c:pt>
                <c:pt idx="7">
                  <c:v>50000</c:v>
                </c:pt>
                <c:pt idx="8">
                  <c:v>75000</c:v>
                </c:pt>
                <c:pt idx="9">
                  <c:v>100000</c:v>
                </c:pt>
                <c:pt idx="10">
                  <c:v>150000</c:v>
                </c:pt>
                <c:pt idx="11">
                  <c:v>200000</c:v>
                </c:pt>
                <c:pt idx="12">
                  <c:v>300000</c:v>
                </c:pt>
                <c:pt idx="13">
                  <c:v>500000</c:v>
                </c:pt>
                <c:pt idx="14">
                  <c:v>750000</c:v>
                </c:pt>
                <c:pt idx="15">
                  <c:v>1000000</c:v>
                </c:pt>
              </c:numCache>
            </c:numRef>
          </c:cat>
          <c:val>
            <c:numRef>
              <c:f>'Pack vs PAYG'!$D$5:$D$20</c:f>
              <c:numCache>
                <c:formatCode>\$#,##0.00</c:formatCode>
                <c:ptCount val="16"/>
                <c:pt idx="0">
                  <c:v>0</c:v>
                </c:pt>
                <c:pt idx="1">
                  <c:v>200</c:v>
                </c:pt>
                <c:pt idx="2">
                  <c:v>200</c:v>
                </c:pt>
                <c:pt idx="3">
                  <c:v>200</c:v>
                </c:pt>
                <c:pt idx="4">
                  <c:v>200</c:v>
                </c:pt>
                <c:pt idx="5">
                  <c:v>200</c:v>
                </c:pt>
                <c:pt idx="6">
                  <c:v>400</c:v>
                </c:pt>
                <c:pt idx="7">
                  <c:v>400</c:v>
                </c:pt>
                <c:pt idx="8">
                  <c:v>600</c:v>
                </c:pt>
                <c:pt idx="9">
                  <c:v>800</c:v>
                </c:pt>
                <c:pt idx="10">
                  <c:v>1200</c:v>
                </c:pt>
                <c:pt idx="11">
                  <c:v>1600</c:v>
                </c:pt>
                <c:pt idx="12">
                  <c:v>2400</c:v>
                </c:pt>
                <c:pt idx="13">
                  <c:v>4000</c:v>
                </c:pt>
                <c:pt idx="14">
                  <c:v>6000</c:v>
                </c:pt>
                <c:pt idx="15">
                  <c:v>8000</c:v>
                </c:pt>
              </c:numCache>
            </c:numRef>
          </c:val>
          <c:smooth val="1"/>
          <c:extLst>
            <c:ext xmlns:c16="http://schemas.microsoft.com/office/drawing/2014/chart" uri="{C3380CC4-5D6E-409C-BE32-E72D297353CC}">
              <c16:uniqueId val="{00000002-C1C3-4B80-9EB3-9CC1D61C8B35}"/>
            </c:ext>
          </c:extLst>
        </c:ser>
        <c:dLbls>
          <c:showLegendKey val="0"/>
          <c:showVal val="0"/>
          <c:showCatName val="0"/>
          <c:showSerName val="0"/>
          <c:showPercent val="0"/>
          <c:showBubbleSize val="0"/>
        </c:dLbls>
        <c:smooth val="0"/>
        <c:axId val="10"/>
        <c:axId val="100"/>
      </c:lineChart>
      <c:catAx>
        <c:axId val="10"/>
        <c:scaling>
          <c:orientation val="minMax"/>
        </c:scaling>
        <c:delete val="1"/>
        <c:axPos val="b"/>
        <c:title>
          <c:tx>
            <c:rich>
              <a:bodyPr/>
              <a:lstStyle/>
              <a:p>
                <a:pPr>
                  <a:defRPr/>
                </a:pPr>
                <a:r>
                  <a:rPr lang="en-US"/>
                  <a:t>Monthly Credits</a:t>
                </a:r>
              </a:p>
            </c:rich>
          </c:tx>
          <c:overlay val="1"/>
        </c:title>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title>
          <c:tx>
            <c:rich>
              <a:bodyPr/>
              <a:lstStyle/>
              <a:p>
                <a:pPr>
                  <a:defRPr/>
                </a:pPr>
                <a:r>
                  <a:rPr lang="en-US"/>
                  <a:t>Monthly Cost</a:t>
                </a:r>
              </a:p>
            </c:rich>
          </c:tx>
          <c:overlay val="1"/>
        </c:title>
        <c:numFmt formatCode="\$#,##0.00" sourceLinked="1"/>
        <c:majorTickMark val="none"/>
        <c:minorTickMark val="none"/>
        <c:tickLblPos val="nextTo"/>
        <c:crossAx val="10"/>
        <c:crosses val="autoZero"/>
        <c:crossBetween val="between"/>
      </c:valAx>
    </c:plotArea>
    <c:legend>
      <c:legendPos val="r"/>
      <c:overlay val="1"/>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4</xdr:col>
      <xdr:colOff>0</xdr:colOff>
      <xdr:row>21</xdr:row>
      <xdr:rowOff>0</xdr:rowOff>
    </xdr:from>
    <xdr:ext cx="4320000" cy="2520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xml><?xml version="1.0" encoding="utf-8"?>
<xdr:wsDr xmlns:xdr="http://schemas.openxmlformats.org/drawingml/2006/spreadsheetDrawing" xmlns:a="http://schemas.openxmlformats.org/drawingml/2006/main">
  <xdr:oneCellAnchor>
    <xdr:from>
      <xdr:col>8</xdr:col>
      <xdr:colOff>0</xdr:colOff>
      <xdr:row>3</xdr:row>
      <xdr:rowOff>0</xdr:rowOff>
    </xdr:from>
    <xdr:ext cx="5040000" cy="288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ojectEvaluator" displayName="ProjectEvaluator" ref="A4:W34">
  <autoFilter ref="A4:W34" xr:uid="{00000000-0009-0000-0100-000001000000}"/>
  <tableColumns count="23">
    <tableColumn id="1" xr3:uid="{00000000-0010-0000-0000-000001000000}" name="Project ID"/>
    <tableColumn id="2" xr3:uid="{00000000-0010-0000-0000-000002000000}" name="Use Case"/>
    <tableColumn id="3" xr3:uid="{00000000-0010-0000-0000-000003000000}" name="Include?"/>
    <tableColumn id="4" xr3:uid="{00000000-0010-0000-0000-000004000000}" name="Audience"/>
    <tableColumn id="5" xr3:uid="{00000000-0010-0000-0000-000005000000}" name="Complexity Preset"/>
    <tableColumn id="6" xr3:uid="{00000000-0010-0000-0000-000006000000}" name="Custom Credits / Interaction"/>
    <tableColumn id="7" xr3:uid="{00000000-0010-0000-0000-000007000000}" name="Applied Credits / Interaction"/>
    <tableColumn id="8" xr3:uid="{00000000-0010-0000-0000-000008000000}" name="Pilot Users/Sessions"/>
    <tableColumn id="9" xr3:uid="{00000000-0010-0000-0000-000009000000}" name="Pilot Interactions/Session"/>
    <tableColumn id="10" xr3:uid="{00000000-0010-0000-0000-00000A000000}" name="Pilot Credits"/>
    <tableColumn id="11" xr3:uid="{00000000-0010-0000-0000-00000B000000}" name="Pilot PAYG Cost"/>
    <tableColumn id="12" xr3:uid="{00000000-0010-0000-0000-00000C000000}" name="Enterprise Users/Sessions"/>
    <tableColumn id="13" xr3:uid="{00000000-0010-0000-0000-00000D000000}" name="Enterprise Interactions/Session"/>
    <tableColumn id="14" xr3:uid="{00000000-0010-0000-0000-00000E000000}" name="Enterprise Credits"/>
    <tableColumn id="15" xr3:uid="{00000000-0010-0000-0000-00000F000000}" name="Enterprise PAYG Cost"/>
    <tableColumn id="16" xr3:uid="{00000000-0010-0000-0000-000010000000}" name="Active Scenario Credits"/>
    <tableColumn id="17" xr3:uid="{00000000-0010-0000-0000-000011000000}" name="Active PAYG Cost"/>
    <tableColumn id="18" xr3:uid="{00000000-0010-0000-0000-000012000000}" name="Packs Required"/>
    <tableColumn id="19" xr3:uid="{00000000-0010-0000-0000-000013000000}" name="Pack Cost"/>
    <tableColumn id="20" xr3:uid="{00000000-0010-0000-0000-000014000000}" name="Recommended Billing"/>
    <tableColumn id="21" xr3:uid="{00000000-0010-0000-0000-000015000000}" name="Budget Risk"/>
    <tableColumn id="22" xr3:uid="{00000000-0010-0000-0000-000016000000}" name="Decision Guidance"/>
    <tableColumn id="23" xr3:uid="{00000000-0010-0000-0000-000017000000}" name="Owner/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learn.microsoft.com/en-us/microsoft-copilot-studio/billing-licensing" TargetMode="External"/><Relationship Id="rId2" Type="http://schemas.openxmlformats.org/officeDocument/2006/relationships/hyperlink" Target="https://learn.microsoft.com/en-us/microsoft-copilot-studio/requirements-messages-management" TargetMode="External"/><Relationship Id="rId1" Type="http://schemas.openxmlformats.org/officeDocument/2006/relationships/hyperlink" Target="https://learn.microsoft.com/en-us/microsoft-copilot-studio/requirements-messages-management" TargetMode="External"/><Relationship Id="rId5" Type="http://schemas.openxmlformats.org/officeDocument/2006/relationships/hyperlink" Target="https://techcommunity.microsoft.com/discussions/nonprofitpartners/15-discount-for-eligible-nonprofit-customers-on-microsoft-365-copilot-effective-/4284412" TargetMode="External"/><Relationship Id="rId4" Type="http://schemas.openxmlformats.org/officeDocument/2006/relationships/hyperlink" Target="https://learn.microsoft.com/en-us/microsoft-365/copilot/pay-as-you-go/copilot-capacity-pack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F2924-084D-4B4A-8C4C-D0D0198A71AE}">
  <dimension ref="A1:I51"/>
  <sheetViews>
    <sheetView showGridLines="0" zoomScale="120" zoomScaleNormal="120" workbookViewId="0">
      <selection activeCell="G25" sqref="G25"/>
    </sheetView>
  </sheetViews>
  <sheetFormatPr defaultColWidth="8.7109375" defaultRowHeight="15"/>
  <cols>
    <col min="1" max="1" width="3.5703125" style="59" customWidth="1"/>
    <col min="2" max="2" width="8.7109375" style="59"/>
    <col min="3" max="3" width="45.7109375" style="25" bestFit="1" customWidth="1"/>
    <col min="4" max="4" width="25.28515625" style="25" customWidth="1"/>
    <col min="5" max="5" width="26.140625" style="25" customWidth="1"/>
    <col min="6" max="6" width="22.28515625" style="25" customWidth="1"/>
    <col min="7" max="7" width="17.5703125" style="59" customWidth="1"/>
    <col min="8" max="8" width="6.5703125" style="25" customWidth="1"/>
    <col min="9" max="9" width="0.7109375" style="25" customWidth="1"/>
    <col min="10" max="15" width="8.7109375" style="25"/>
    <col min="16" max="16" width="8.7109375" style="25" customWidth="1"/>
    <col min="17" max="16384" width="8.7109375" style="25"/>
  </cols>
  <sheetData>
    <row r="1" spans="1:9">
      <c r="A1" s="22"/>
      <c r="B1" s="22"/>
      <c r="C1" s="23"/>
      <c r="D1" s="23"/>
      <c r="E1" s="23"/>
      <c r="F1" s="23"/>
      <c r="G1" s="22"/>
      <c r="H1" s="23"/>
      <c r="I1" s="24"/>
    </row>
    <row r="2" spans="1:9">
      <c r="A2" s="22"/>
      <c r="B2" s="26" t="s">
        <v>0</v>
      </c>
      <c r="C2" s="23"/>
      <c r="D2" s="23"/>
      <c r="E2" s="23"/>
      <c r="F2" s="23"/>
      <c r="G2" s="22"/>
      <c r="H2" s="23"/>
      <c r="I2" s="24"/>
    </row>
    <row r="3" spans="1:9" ht="14.45" customHeight="1">
      <c r="A3" s="22"/>
      <c r="B3" s="62" t="s">
        <v>1</v>
      </c>
      <c r="C3" s="62"/>
      <c r="D3" s="62"/>
      <c r="E3" s="62"/>
      <c r="F3" s="62"/>
      <c r="G3" s="22"/>
      <c r="H3" s="23"/>
      <c r="I3" s="24"/>
    </row>
    <row r="4" spans="1:9">
      <c r="A4" s="22"/>
      <c r="B4" s="62"/>
      <c r="C4" s="62"/>
      <c r="D4" s="62"/>
      <c r="E4" s="62"/>
      <c r="F4" s="62"/>
      <c r="G4" s="22"/>
      <c r="H4" s="23"/>
      <c r="I4" s="24"/>
    </row>
    <row r="5" spans="1:9">
      <c r="A5" s="22"/>
      <c r="B5" s="62"/>
      <c r="C5" s="62"/>
      <c r="D5" s="62"/>
      <c r="E5" s="62"/>
      <c r="F5" s="62"/>
      <c r="G5" s="22"/>
      <c r="H5" s="23"/>
      <c r="I5" s="24"/>
    </row>
    <row r="6" spans="1:9">
      <c r="A6" s="22"/>
      <c r="B6" s="62"/>
      <c r="C6" s="62"/>
      <c r="D6" s="62"/>
      <c r="E6" s="62"/>
      <c r="F6" s="62"/>
      <c r="G6" s="22"/>
      <c r="H6" s="23"/>
      <c r="I6" s="24"/>
    </row>
    <row r="7" spans="1:9" ht="5.0999999999999996" customHeight="1">
      <c r="A7" s="22"/>
      <c r="B7" s="22"/>
      <c r="C7" s="23"/>
      <c r="D7" s="23"/>
      <c r="E7" s="23"/>
      <c r="F7" s="23"/>
      <c r="G7" s="22"/>
      <c r="H7" s="23"/>
      <c r="I7" s="24"/>
    </row>
    <row r="8" spans="1:9" ht="3" customHeight="1">
      <c r="A8" s="27"/>
      <c r="B8" s="27"/>
      <c r="C8" s="24"/>
      <c r="D8" s="28"/>
      <c r="E8" s="24"/>
      <c r="F8" s="24"/>
      <c r="G8" s="27"/>
      <c r="H8" s="24"/>
      <c r="I8" s="24"/>
    </row>
    <row r="9" spans="1:9" ht="5.0999999999999996" customHeight="1">
      <c r="A9" s="22"/>
      <c r="B9" s="22"/>
      <c r="C9" s="23"/>
      <c r="D9" s="23"/>
      <c r="E9" s="23"/>
      <c r="F9" s="23"/>
      <c r="G9" s="22"/>
      <c r="H9" s="23"/>
      <c r="I9" s="24"/>
    </row>
    <row r="10" spans="1:9" s="34" customFormat="1" ht="14.45" customHeight="1">
      <c r="A10" s="29"/>
      <c r="B10" s="29" t="s">
        <v>2</v>
      </c>
      <c r="C10" s="30" t="s">
        <v>3</v>
      </c>
      <c r="D10" s="31"/>
      <c r="E10" s="31"/>
      <c r="F10" s="31"/>
      <c r="G10" s="32"/>
      <c r="H10" s="31"/>
      <c r="I10" s="33"/>
    </row>
    <row r="11" spans="1:9" ht="20.45" customHeight="1">
      <c r="A11" s="22"/>
      <c r="B11" s="22"/>
      <c r="C11" s="35"/>
      <c r="D11" s="36" t="s">
        <v>4</v>
      </c>
      <c r="E11" s="23"/>
      <c r="F11" s="23"/>
      <c r="G11" s="22"/>
      <c r="H11" s="23"/>
      <c r="I11" s="24"/>
    </row>
    <row r="12" spans="1:9" ht="14.45" customHeight="1">
      <c r="A12" s="22"/>
      <c r="B12" s="22"/>
      <c r="C12" s="37" t="s">
        <v>5</v>
      </c>
      <c r="D12" s="38"/>
      <c r="E12" s="23"/>
      <c r="F12" s="23"/>
      <c r="G12" s="22"/>
      <c r="H12" s="23"/>
      <c r="I12" s="24"/>
    </row>
    <row r="13" spans="1:9" ht="14.45" customHeight="1">
      <c r="A13" s="22"/>
      <c r="B13" s="22"/>
      <c r="C13" s="39" t="s">
        <v>6</v>
      </c>
      <c r="D13" s="38"/>
      <c r="E13" s="23"/>
      <c r="F13" s="23"/>
      <c r="G13" s="22"/>
      <c r="H13" s="23"/>
      <c r="I13" s="24"/>
    </row>
    <row r="14" spans="1:9" ht="14.45" customHeight="1">
      <c r="A14" s="22"/>
      <c r="B14" s="22"/>
      <c r="C14" s="39" t="s">
        <v>7</v>
      </c>
      <c r="D14" s="38"/>
      <c r="E14" s="23"/>
      <c r="F14" s="23"/>
      <c r="G14" s="22"/>
      <c r="H14" s="23"/>
      <c r="I14" s="24"/>
    </row>
    <row r="15" spans="1:9" ht="14.45" customHeight="1">
      <c r="A15" s="22"/>
      <c r="B15" s="22"/>
      <c r="C15" s="39" t="s">
        <v>8</v>
      </c>
      <c r="D15" s="38"/>
      <c r="E15" s="23"/>
      <c r="F15" s="23"/>
      <c r="G15" s="22"/>
      <c r="H15" s="23"/>
      <c r="I15" s="24"/>
    </row>
    <row r="16" spans="1:9" ht="5.0999999999999996" customHeight="1">
      <c r="A16" s="22"/>
      <c r="B16" s="22"/>
      <c r="C16" s="23"/>
      <c r="D16" s="40"/>
      <c r="E16" s="23"/>
      <c r="F16" s="23"/>
      <c r="G16" s="22"/>
      <c r="H16" s="23"/>
      <c r="I16" s="24"/>
    </row>
    <row r="17" spans="1:9" ht="3" customHeight="1">
      <c r="A17" s="27"/>
      <c r="B17" s="27"/>
      <c r="C17" s="24"/>
      <c r="D17" s="28"/>
      <c r="E17" s="24"/>
      <c r="F17" s="24"/>
      <c r="G17" s="27"/>
      <c r="H17" s="24"/>
      <c r="I17" s="24"/>
    </row>
    <row r="18" spans="1:9" ht="5.0999999999999996" customHeight="1">
      <c r="A18" s="22"/>
      <c r="B18" s="22"/>
      <c r="C18" s="23"/>
      <c r="D18" s="40"/>
      <c r="E18" s="23"/>
      <c r="F18" s="23"/>
      <c r="G18" s="22"/>
      <c r="H18" s="23"/>
      <c r="I18" s="24"/>
    </row>
    <row r="19" spans="1:9" s="34" customFormat="1" ht="14.45" customHeight="1">
      <c r="A19" s="29"/>
      <c r="B19" s="29" t="s">
        <v>9</v>
      </c>
      <c r="C19" s="63" t="s">
        <v>10</v>
      </c>
      <c r="D19" s="63"/>
      <c r="E19" s="63"/>
      <c r="F19" s="31"/>
      <c r="G19" s="32"/>
      <c r="H19" s="31"/>
      <c r="I19" s="33"/>
    </row>
    <row r="20" spans="1:9" ht="14.45" customHeight="1">
      <c r="A20" s="22"/>
      <c r="B20" s="22"/>
      <c r="C20" s="41" t="s">
        <v>11</v>
      </c>
      <c r="D20" s="23"/>
      <c r="E20" s="23"/>
      <c r="F20" s="23"/>
      <c r="G20" s="22"/>
      <c r="H20" s="23"/>
      <c r="I20" s="24"/>
    </row>
    <row r="21" spans="1:9" ht="20.45" customHeight="1">
      <c r="A21" s="22"/>
      <c r="B21" s="22"/>
      <c r="C21" s="42"/>
      <c r="D21" s="43" t="s">
        <v>12</v>
      </c>
      <c r="E21" s="36" t="s">
        <v>13</v>
      </c>
      <c r="F21" s="36" t="s">
        <v>14</v>
      </c>
      <c r="G21" s="64" t="s">
        <v>15</v>
      </c>
      <c r="H21" s="23"/>
      <c r="I21" s="24"/>
    </row>
    <row r="22" spans="1:9" ht="36" customHeight="1">
      <c r="A22" s="22"/>
      <c r="B22" s="22"/>
      <c r="C22" s="35"/>
      <c r="D22" s="44" t="s">
        <v>16</v>
      </c>
      <c r="E22" s="44" t="s">
        <v>17</v>
      </c>
      <c r="F22" s="44" t="s">
        <v>18</v>
      </c>
      <c r="G22" s="65"/>
      <c r="H22" s="23"/>
      <c r="I22" s="24"/>
    </row>
    <row r="23" spans="1:9" ht="14.45" customHeight="1">
      <c r="A23" s="22"/>
      <c r="B23" s="22"/>
      <c r="C23" s="37" t="s">
        <v>5</v>
      </c>
      <c r="D23" s="45">
        <v>22</v>
      </c>
      <c r="E23" s="45">
        <v>11</v>
      </c>
      <c r="F23" s="45">
        <v>5</v>
      </c>
      <c r="G23" s="46">
        <f>((D23*$D$33)+(E23*$D$34)+(F23*$D$35))</f>
        <v>14250</v>
      </c>
      <c r="H23" s="23"/>
      <c r="I23" s="24"/>
    </row>
    <row r="24" spans="1:9" ht="14.45" customHeight="1">
      <c r="A24" s="22"/>
      <c r="B24" s="22"/>
      <c r="C24" s="39" t="s">
        <v>6</v>
      </c>
      <c r="D24" s="45">
        <v>17</v>
      </c>
      <c r="E24" s="45">
        <v>13</v>
      </c>
      <c r="F24" s="45">
        <v>5</v>
      </c>
      <c r="G24" s="46">
        <f t="shared" ref="G24:G26" si="0">((D24*$D$33)+(E24*$D$34)+(F24*$D$35))</f>
        <v>14625</v>
      </c>
      <c r="H24" s="23"/>
      <c r="I24" s="24"/>
    </row>
    <row r="25" spans="1:9" ht="14.45" customHeight="1">
      <c r="A25" s="22"/>
      <c r="B25" s="22"/>
      <c r="C25" s="39" t="s">
        <v>7</v>
      </c>
      <c r="D25" s="45">
        <v>12</v>
      </c>
      <c r="E25" s="45">
        <v>9</v>
      </c>
      <c r="F25" s="45">
        <v>14</v>
      </c>
      <c r="G25" s="46">
        <f t="shared" si="0"/>
        <v>22800</v>
      </c>
      <c r="H25" s="23"/>
      <c r="I25" s="24"/>
    </row>
    <row r="26" spans="1:9" ht="14.45" customHeight="1">
      <c r="A26" s="22"/>
      <c r="B26" s="22"/>
      <c r="C26" s="39" t="s">
        <v>19</v>
      </c>
      <c r="D26" s="45">
        <v>13</v>
      </c>
      <c r="E26" s="45">
        <v>6</v>
      </c>
      <c r="F26" s="45">
        <v>3</v>
      </c>
      <c r="G26" s="46">
        <f t="shared" si="0"/>
        <v>8225</v>
      </c>
      <c r="H26" s="23"/>
      <c r="I26" s="24"/>
    </row>
    <row r="27" spans="1:9" ht="5.0999999999999996" customHeight="1">
      <c r="A27" s="22"/>
      <c r="B27" s="22"/>
      <c r="C27" s="23"/>
      <c r="D27" s="23"/>
      <c r="E27" s="23"/>
      <c r="F27" s="23"/>
      <c r="G27" s="22"/>
      <c r="H27" s="23"/>
      <c r="I27" s="24"/>
    </row>
    <row r="28" spans="1:9" ht="3" customHeight="1">
      <c r="A28" s="27"/>
      <c r="B28" s="27"/>
      <c r="C28" s="47"/>
      <c r="D28" s="24"/>
      <c r="E28" s="24"/>
      <c r="F28" s="24"/>
      <c r="G28" s="27"/>
      <c r="H28" s="24"/>
      <c r="I28" s="24"/>
    </row>
    <row r="29" spans="1:9" ht="5.0999999999999996" customHeight="1">
      <c r="A29" s="22"/>
      <c r="B29" s="22"/>
      <c r="C29" s="48"/>
      <c r="D29" s="23"/>
      <c r="E29" s="23"/>
      <c r="F29" s="23"/>
      <c r="G29" s="22"/>
      <c r="H29" s="23"/>
      <c r="I29" s="24"/>
    </row>
    <row r="30" spans="1:9" s="34" customFormat="1" ht="14.45" customHeight="1">
      <c r="A30" s="29"/>
      <c r="B30" s="29" t="s">
        <v>20</v>
      </c>
      <c r="C30" s="63" t="s">
        <v>21</v>
      </c>
      <c r="D30" s="63"/>
      <c r="E30" s="31"/>
      <c r="F30" s="31"/>
      <c r="G30" s="32"/>
      <c r="H30" s="31"/>
      <c r="I30" s="33"/>
    </row>
    <row r="31" spans="1:9" ht="14.45" customHeight="1">
      <c r="A31" s="22"/>
      <c r="B31" s="22"/>
      <c r="C31" s="41" t="s">
        <v>11</v>
      </c>
      <c r="D31" s="23"/>
      <c r="E31" s="23"/>
      <c r="F31" s="23"/>
      <c r="G31" s="22"/>
      <c r="H31" s="23"/>
      <c r="I31" s="24"/>
    </row>
    <row r="32" spans="1:9" ht="20.45" customHeight="1">
      <c r="A32" s="22"/>
      <c r="B32" s="22"/>
      <c r="C32" s="66" t="s">
        <v>22</v>
      </c>
      <c r="D32" s="67"/>
      <c r="E32" s="23"/>
      <c r="F32" s="23"/>
      <c r="G32" s="22"/>
      <c r="H32" s="23"/>
      <c r="I32" s="24"/>
    </row>
    <row r="33" spans="1:9" ht="14.45" customHeight="1">
      <c r="A33" s="22"/>
      <c r="B33" s="22"/>
      <c r="C33" s="39" t="s">
        <v>12</v>
      </c>
      <c r="D33" s="49">
        <v>125</v>
      </c>
      <c r="E33" s="23"/>
      <c r="F33" s="23"/>
      <c r="G33" s="22"/>
      <c r="H33" s="23"/>
      <c r="I33" s="24"/>
    </row>
    <row r="34" spans="1:9" ht="14.45" customHeight="1">
      <c r="A34" s="22"/>
      <c r="B34" s="22"/>
      <c r="C34" s="39" t="s">
        <v>13</v>
      </c>
      <c r="D34" s="49">
        <v>500</v>
      </c>
      <c r="E34" s="23"/>
      <c r="F34" s="23"/>
      <c r="G34" s="22"/>
      <c r="H34" s="23"/>
      <c r="I34" s="24"/>
    </row>
    <row r="35" spans="1:9" ht="14.45" customHeight="1">
      <c r="A35" s="22"/>
      <c r="B35" s="22"/>
      <c r="C35" s="39" t="s">
        <v>14</v>
      </c>
      <c r="D35" s="49">
        <v>1200</v>
      </c>
      <c r="E35" s="23"/>
      <c r="F35" s="23"/>
      <c r="G35" s="22"/>
      <c r="H35" s="23"/>
      <c r="I35" s="24"/>
    </row>
    <row r="36" spans="1:9" ht="14.45" customHeight="1">
      <c r="A36" s="22"/>
      <c r="B36" s="22"/>
      <c r="C36" s="23"/>
      <c r="D36" s="23"/>
      <c r="E36" s="23"/>
      <c r="F36" s="23"/>
      <c r="G36" s="22"/>
      <c r="H36" s="23"/>
      <c r="I36" s="24"/>
    </row>
    <row r="37" spans="1:9" ht="3" customHeight="1">
      <c r="A37" s="27"/>
      <c r="B37" s="27"/>
      <c r="C37" s="24"/>
      <c r="D37" s="24"/>
      <c r="E37" s="24"/>
      <c r="F37" s="24"/>
      <c r="G37" s="27"/>
      <c r="H37" s="24"/>
      <c r="I37" s="24"/>
    </row>
    <row r="38" spans="1:9" ht="5.0999999999999996" customHeight="1">
      <c r="A38" s="22"/>
      <c r="B38" s="22"/>
      <c r="C38" s="23"/>
      <c r="D38" s="23"/>
      <c r="E38" s="23"/>
      <c r="F38" s="23"/>
      <c r="G38" s="22"/>
      <c r="H38" s="23"/>
      <c r="I38" s="24"/>
    </row>
    <row r="39" spans="1:9" s="34" customFormat="1" ht="14.45" customHeight="1">
      <c r="A39" s="29"/>
      <c r="B39" s="29" t="s">
        <v>23</v>
      </c>
      <c r="C39" s="30" t="s">
        <v>24</v>
      </c>
      <c r="D39" s="31"/>
      <c r="E39" s="31"/>
      <c r="F39" s="31"/>
      <c r="G39" s="32"/>
      <c r="H39" s="31"/>
      <c r="I39" s="33"/>
    </row>
    <row r="40" spans="1:9" ht="5.0999999999999996" customHeight="1">
      <c r="A40" s="22"/>
      <c r="B40" s="22"/>
      <c r="C40" s="48"/>
      <c r="D40" s="23"/>
      <c r="E40" s="23"/>
      <c r="F40" s="23"/>
      <c r="G40" s="22"/>
      <c r="H40" s="23"/>
      <c r="I40" s="24"/>
    </row>
    <row r="41" spans="1:9" ht="14.45" customHeight="1">
      <c r="A41" s="22"/>
      <c r="B41" s="22"/>
      <c r="C41" s="50" t="s">
        <v>25</v>
      </c>
      <c r="D41" s="51">
        <f>SUMPRODUCT(D12:D15,G23:G26)</f>
        <v>0</v>
      </c>
      <c r="E41" s="23"/>
      <c r="F41" s="23"/>
      <c r="G41" s="22"/>
      <c r="H41" s="23"/>
      <c r="I41" s="24"/>
    </row>
    <row r="42" spans="1:9" ht="14.45" customHeight="1">
      <c r="A42" s="22"/>
      <c r="B42" s="22"/>
      <c r="C42" s="52" t="s">
        <v>26</v>
      </c>
      <c r="D42" s="53">
        <f>D41/100</f>
        <v>0</v>
      </c>
      <c r="E42" s="54"/>
      <c r="F42" s="23"/>
      <c r="G42" s="22"/>
      <c r="H42" s="23"/>
      <c r="I42" s="24"/>
    </row>
    <row r="43" spans="1:9" ht="14.45" customHeight="1">
      <c r="A43" s="22"/>
      <c r="B43" s="22"/>
      <c r="C43" s="50" t="s">
        <v>27</v>
      </c>
      <c r="D43" s="55" t="e">
        <f>D42/(SUM(D12:D15))</f>
        <v>#DIV/0!</v>
      </c>
      <c r="E43" s="23"/>
      <c r="F43" s="23"/>
      <c r="G43" s="22"/>
      <c r="H43" s="23"/>
      <c r="I43" s="24"/>
    </row>
    <row r="44" spans="1:9" ht="5.0999999999999996" customHeight="1">
      <c r="A44" s="22"/>
      <c r="B44" s="22"/>
      <c r="C44" s="48"/>
      <c r="D44" s="56"/>
      <c r="E44" s="23"/>
      <c r="F44" s="23"/>
      <c r="G44" s="22"/>
      <c r="H44" s="23"/>
      <c r="I44" s="24"/>
    </row>
    <row r="45" spans="1:9" ht="3" customHeight="1">
      <c r="A45" s="27"/>
      <c r="B45" s="27"/>
      <c r="C45" s="24"/>
      <c r="D45" s="24"/>
      <c r="E45" s="24"/>
      <c r="F45" s="24"/>
      <c r="G45" s="27"/>
      <c r="H45" s="24"/>
      <c r="I45" s="24"/>
    </row>
    <row r="46" spans="1:9" ht="5.0999999999999996" customHeight="1">
      <c r="A46" s="22"/>
      <c r="B46" s="22"/>
      <c r="C46" s="23"/>
      <c r="D46" s="57"/>
      <c r="E46" s="57"/>
      <c r="F46" s="57"/>
      <c r="G46" s="58"/>
      <c r="H46" s="57"/>
      <c r="I46" s="24"/>
    </row>
    <row r="47" spans="1:9" ht="36.950000000000003" customHeight="1">
      <c r="A47" s="22"/>
      <c r="B47" s="22"/>
      <c r="C47" s="61" t="s">
        <v>28</v>
      </c>
      <c r="D47" s="61"/>
      <c r="E47" s="61"/>
      <c r="F47" s="61"/>
      <c r="G47" s="61"/>
      <c r="H47" s="57"/>
      <c r="I47" s="24"/>
    </row>
    <row r="48" spans="1:9" ht="5.0999999999999996" customHeight="1">
      <c r="A48" s="22"/>
      <c r="B48" s="22"/>
      <c r="C48" s="23"/>
      <c r="D48" s="23"/>
      <c r="E48" s="23"/>
      <c r="F48" s="23"/>
      <c r="G48" s="58"/>
      <c r="H48" s="57"/>
      <c r="I48" s="24"/>
    </row>
    <row r="49" spans="1:9" ht="27.95" customHeight="1">
      <c r="A49" s="22"/>
      <c r="B49" s="22"/>
      <c r="C49" s="61" t="s">
        <v>29</v>
      </c>
      <c r="D49" s="61"/>
      <c r="E49" s="61"/>
      <c r="F49" s="61"/>
      <c r="G49" s="61"/>
      <c r="H49" s="23"/>
      <c r="I49" s="24"/>
    </row>
    <row r="50" spans="1:9" ht="5.0999999999999996" customHeight="1">
      <c r="A50" s="22"/>
      <c r="B50" s="22"/>
      <c r="C50" s="23"/>
      <c r="D50" s="23"/>
      <c r="E50" s="23"/>
      <c r="F50" s="23"/>
      <c r="G50" s="22"/>
      <c r="H50" s="23"/>
      <c r="I50" s="24"/>
    </row>
    <row r="51" spans="1:9" ht="3" customHeight="1">
      <c r="A51" s="27"/>
      <c r="B51" s="27"/>
      <c r="C51" s="24"/>
      <c r="D51" s="24"/>
      <c r="E51" s="24"/>
      <c r="F51" s="24"/>
      <c r="G51" s="27"/>
      <c r="H51" s="24"/>
      <c r="I51" s="24"/>
    </row>
  </sheetData>
  <sheetProtection algorithmName="SHA-512" hashValue="cnPpjsGieisoYHmLWzpW+Tl8mOBTyIrF9mFMgNGgzu6Sx3nfEAhqV3kLis+rFwKsDqpLuSF0pwMOdBBrW4JzLw==" saltValue="sAxJKd6PfvV00bqHLWy5yg==" spinCount="100000" sheet="1" objects="1" scenarios="1"/>
  <mergeCells count="7">
    <mergeCell ref="C49:G49"/>
    <mergeCell ref="B3:F6"/>
    <mergeCell ref="C19:E19"/>
    <mergeCell ref="G21:G22"/>
    <mergeCell ref="C30:D30"/>
    <mergeCell ref="C32:D32"/>
    <mergeCell ref="C47:G4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0"/>
  <sheetViews>
    <sheetView showGridLines="0" workbookViewId="0">
      <pane ySplit="3" topLeftCell="A4" activePane="bottomLeft" state="frozen"/>
      <selection pane="bottomLeft"/>
    </sheetView>
  </sheetViews>
  <sheetFormatPr defaultRowHeight="15"/>
  <cols>
    <col min="1" max="3" width="50" customWidth="1"/>
    <col min="4" max="8" width="3" customWidth="1"/>
  </cols>
  <sheetData>
    <row r="1" spans="1:8" ht="23.25">
      <c r="A1" s="69" t="s">
        <v>254</v>
      </c>
      <c r="B1" s="70"/>
      <c r="C1" s="70"/>
      <c r="D1" s="70"/>
      <c r="E1" s="70"/>
      <c r="F1" s="70"/>
      <c r="G1" s="70"/>
      <c r="H1" s="70"/>
    </row>
    <row r="2" spans="1:8">
      <c r="A2" s="71" t="s">
        <v>255</v>
      </c>
      <c r="B2" s="70"/>
      <c r="C2" s="70"/>
      <c r="D2" s="70"/>
      <c r="E2" s="70"/>
      <c r="F2" s="70"/>
      <c r="G2" s="70"/>
      <c r="H2" s="70"/>
    </row>
    <row r="4" spans="1:8">
      <c r="A4" s="1" t="s">
        <v>256</v>
      </c>
      <c r="B4" s="1" t="s">
        <v>257</v>
      </c>
      <c r="C4" s="1" t="s">
        <v>258</v>
      </c>
    </row>
    <row r="5" spans="1:8" ht="30">
      <c r="A5" s="2" t="s">
        <v>259</v>
      </c>
      <c r="B5" s="2" t="s">
        <v>260</v>
      </c>
      <c r="C5" s="21" t="s">
        <v>261</v>
      </c>
    </row>
    <row r="6" spans="1:8" ht="45">
      <c r="A6" s="2" t="s">
        <v>262</v>
      </c>
      <c r="B6" s="2" t="s">
        <v>263</v>
      </c>
      <c r="C6" s="21" t="s">
        <v>261</v>
      </c>
    </row>
    <row r="7" spans="1:8" ht="45">
      <c r="A7" s="2" t="s">
        <v>264</v>
      </c>
      <c r="B7" s="2" t="s">
        <v>265</v>
      </c>
      <c r="C7" s="21" t="s">
        <v>266</v>
      </c>
    </row>
    <row r="8" spans="1:8" ht="30">
      <c r="A8" s="2" t="s">
        <v>267</v>
      </c>
      <c r="B8" s="2" t="s">
        <v>268</v>
      </c>
      <c r="C8" s="21" t="s">
        <v>269</v>
      </c>
    </row>
    <row r="9" spans="1:8" ht="30">
      <c r="A9" s="2" t="s">
        <v>270</v>
      </c>
      <c r="B9" s="2" t="s">
        <v>271</v>
      </c>
      <c r="C9" s="21" t="s">
        <v>272</v>
      </c>
    </row>
    <row r="10" spans="1:8" ht="45">
      <c r="A10" s="2" t="s">
        <v>273</v>
      </c>
      <c r="B10" s="2" t="s">
        <v>274</v>
      </c>
      <c r="C10" s="2" t="s">
        <v>275</v>
      </c>
    </row>
  </sheetData>
  <mergeCells count="2">
    <mergeCell ref="A2:H2"/>
    <mergeCell ref="A1:H1"/>
  </mergeCells>
  <hyperlinks>
    <hyperlink ref="C5" r:id="rId1" xr:uid="{00000000-0004-0000-0800-000000000000}"/>
    <hyperlink ref="C6" r:id="rId2" xr:uid="{00000000-0004-0000-0800-000001000000}"/>
    <hyperlink ref="C7" r:id="rId3" xr:uid="{00000000-0004-0000-0800-000002000000}"/>
    <hyperlink ref="C8" r:id="rId4" xr:uid="{00000000-0004-0000-0800-000003000000}"/>
    <hyperlink ref="C9" r:id="rId5" xr:uid="{00000000-0004-0000-0800-000004000000}"/>
  </hyperlinks>
  <pageMargins left="0.75" right="0.75" top="1" bottom="1" header="0.5" footer="0.5"/>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showGridLines="0" tabSelected="1" workbookViewId="0">
      <pane ySplit="3" topLeftCell="A4" activePane="bottomLeft" state="frozen"/>
      <selection pane="bottomLeft" activeCell="B6" sqref="B6"/>
    </sheetView>
  </sheetViews>
  <sheetFormatPr defaultRowHeight="15"/>
  <cols>
    <col min="1" max="2" width="50" customWidth="1"/>
    <col min="3" max="3" width="17" customWidth="1"/>
    <col min="4" max="4" width="3" customWidth="1"/>
    <col min="5" max="5" width="27" customWidth="1"/>
    <col min="6" max="6" width="50" customWidth="1"/>
    <col min="7" max="8" width="3" customWidth="1"/>
  </cols>
  <sheetData>
    <row r="1" spans="1:8" ht="23.25">
      <c r="A1" s="69" t="s">
        <v>30</v>
      </c>
      <c r="B1" s="70"/>
      <c r="C1" s="70"/>
      <c r="D1" s="70"/>
      <c r="E1" s="70"/>
      <c r="F1" s="70"/>
      <c r="G1" s="70"/>
      <c r="H1" s="70"/>
    </row>
    <row r="2" spans="1:8">
      <c r="A2" s="71" t="s">
        <v>31</v>
      </c>
      <c r="B2" s="70"/>
      <c r="C2" s="70"/>
      <c r="D2" s="70"/>
      <c r="E2" s="70"/>
      <c r="F2" s="70"/>
      <c r="G2" s="70"/>
      <c r="H2" s="70"/>
    </row>
    <row r="4" spans="1:8">
      <c r="A4" s="1" t="s">
        <v>32</v>
      </c>
      <c r="B4" s="1" t="s">
        <v>33</v>
      </c>
      <c r="C4" s="1" t="s">
        <v>34</v>
      </c>
      <c r="E4" s="72" t="s">
        <v>35</v>
      </c>
      <c r="F4" s="70"/>
      <c r="G4" s="70"/>
      <c r="H4" s="70"/>
    </row>
    <row r="5" spans="1:8">
      <c r="A5" s="2" t="s">
        <v>36</v>
      </c>
      <c r="B5" s="2" t="str">
        <f>'Inputs &amp; Assumptions'!B5</f>
        <v>Pilot</v>
      </c>
      <c r="C5" s="2"/>
      <c r="E5" s="3" t="s">
        <v>37</v>
      </c>
      <c r="F5" s="60" t="s">
        <v>38</v>
      </c>
      <c r="G5" s="60"/>
      <c r="H5" s="60"/>
    </row>
    <row r="6" spans="1:8">
      <c r="A6" s="2" t="s">
        <v>39</v>
      </c>
      <c r="B6" s="4">
        <f>IF(B5="Pilot",'Inputs &amp; Assumptions'!B13,'Inputs &amp; Assumptions'!B14)</f>
        <v>25</v>
      </c>
      <c r="C6" s="2"/>
    </row>
    <row r="7" spans="1:8">
      <c r="A7" s="2" t="s">
        <v>40</v>
      </c>
      <c r="B7" s="5">
        <f>'Inputs &amp; Assumptions'!B6</f>
        <v>25.5</v>
      </c>
      <c r="C7" s="2"/>
      <c r="E7" s="3" t="s">
        <v>41</v>
      </c>
      <c r="F7" s="60" t="s">
        <v>42</v>
      </c>
      <c r="G7" s="60"/>
      <c r="H7" s="60"/>
    </row>
    <row r="8" spans="1:8">
      <c r="A8" s="2" t="s">
        <v>43</v>
      </c>
      <c r="B8" s="5">
        <f>B6*B7</f>
        <v>637.5</v>
      </c>
      <c r="C8" s="2"/>
    </row>
    <row r="9" spans="1:8">
      <c r="A9" s="2" t="s">
        <v>44</v>
      </c>
      <c r="B9" s="4">
        <f>SUM('Project Evaluator'!P5:P34)</f>
        <v>64280</v>
      </c>
      <c r="C9" s="2"/>
      <c r="E9" s="3" t="s">
        <v>45</v>
      </c>
      <c r="F9" s="60" t="s">
        <v>46</v>
      </c>
      <c r="G9" s="60"/>
      <c r="H9" s="60"/>
    </row>
    <row r="10" spans="1:8">
      <c r="A10" s="2" t="s">
        <v>47</v>
      </c>
      <c r="B10" s="5">
        <f>B9*'Inputs &amp; Assumptions'!B8</f>
        <v>642.80000000000007</v>
      </c>
      <c r="C10" s="2"/>
    </row>
    <row r="11" spans="1:8">
      <c r="A11" s="2" t="s">
        <v>48</v>
      </c>
      <c r="B11" s="4">
        <f>IF(B9&gt;0,ROUNDUP(B9/'Inputs &amp; Assumptions'!B9,0),0)</f>
        <v>3</v>
      </c>
      <c r="C11" s="2"/>
      <c r="E11" s="3" t="s">
        <v>49</v>
      </c>
      <c r="F11" s="60" t="s">
        <v>50</v>
      </c>
      <c r="G11" s="60"/>
      <c r="H11" s="60"/>
    </row>
    <row r="12" spans="1:8">
      <c r="A12" s="2" t="s">
        <v>51</v>
      </c>
      <c r="B12" s="5">
        <f>B11*'Inputs &amp; Assumptions'!B10</f>
        <v>600</v>
      </c>
      <c r="C12" s="2"/>
    </row>
    <row r="13" spans="1:8">
      <c r="A13" s="2" t="s">
        <v>52</v>
      </c>
      <c r="B13" s="2" t="str">
        <f>IF(B9=0,"No agent spend",IF(B10&lt;=B12,"PAYG","Capacity Packs"))</f>
        <v>Capacity Packs</v>
      </c>
      <c r="C13" s="2"/>
    </row>
    <row r="14" spans="1:8">
      <c r="A14" s="2" t="s">
        <v>53</v>
      </c>
      <c r="B14" s="5">
        <f>'Inputs &amp; Assumptions'!B11</f>
        <v>2000</v>
      </c>
      <c r="C14" s="2"/>
    </row>
    <row r="15" spans="1:8">
      <c r="A15" s="2" t="s">
        <v>54</v>
      </c>
      <c r="B15" s="6">
        <f>MIN(B10,B12)/B14</f>
        <v>0.3</v>
      </c>
      <c r="C15" s="2"/>
    </row>
    <row r="16" spans="1:8">
      <c r="A16" s="2" t="s">
        <v>55</v>
      </c>
      <c r="B16" s="2" t="str">
        <f>IF(MIN(B10,B12)&gt;B14,"Over ceiling",IF(MIN(B10,B12)&gt;B14*'Inputs &amp; Assumptions'!B12,"Near ceiling","Within ceiling"))</f>
        <v>Within ceiling</v>
      </c>
      <c r="C16" s="2"/>
    </row>
    <row r="17" spans="1:3">
      <c r="A17" s="2" t="s">
        <v>56</v>
      </c>
      <c r="B17" s="5">
        <f>B8-MIN(B10,B12)</f>
        <v>37.5</v>
      </c>
      <c r="C17" s="2"/>
    </row>
    <row r="18" spans="1:3" ht="30">
      <c r="A18" s="2" t="s">
        <v>57</v>
      </c>
      <c r="B18" s="2" t="str">
        <f>IF(B17&gt;0,"Agent run-cost is lower than broad Copilot licensing; validate capability fit.","M365 Copilot licensing is lower than modeled agent spend; validate user productivity ROI.")</f>
        <v>Agent run-cost is lower than broad Copilot licensing; validate capability fit.</v>
      </c>
      <c r="C18" s="2"/>
    </row>
    <row r="22" spans="1:3">
      <c r="A22" s="7" t="s">
        <v>58</v>
      </c>
    </row>
    <row r="23" spans="1:3">
      <c r="A23" s="1" t="s">
        <v>59</v>
      </c>
      <c r="B23" s="1" t="s">
        <v>60</v>
      </c>
    </row>
    <row r="24" spans="1:3">
      <c r="A24" s="8" t="s">
        <v>61</v>
      </c>
      <c r="B24" s="9">
        <f>B8</f>
        <v>637.5</v>
      </c>
    </row>
    <row r="25" spans="1:3">
      <c r="A25" s="8" t="s">
        <v>62</v>
      </c>
      <c r="B25" s="9">
        <f>B10</f>
        <v>642.80000000000007</v>
      </c>
    </row>
    <row r="26" spans="1:3">
      <c r="A26" s="8" t="s">
        <v>63</v>
      </c>
      <c r="B26" s="9">
        <f>B12</f>
        <v>600</v>
      </c>
    </row>
  </sheetData>
  <mergeCells count="7">
    <mergeCell ref="F11:H11"/>
    <mergeCell ref="A1:H1"/>
    <mergeCell ref="F5:H5"/>
    <mergeCell ref="A2:H2"/>
    <mergeCell ref="E4:H4"/>
    <mergeCell ref="F9:H9"/>
    <mergeCell ref="F7:H7"/>
  </mergeCells>
  <conditionalFormatting sqref="B16">
    <cfRule type="expression" dxfId="8" priority="1">
      <formula>B16="Over ceiling"</formula>
    </cfRule>
    <cfRule type="expression" dxfId="7" priority="2">
      <formula>B16="Near ceiling"</formula>
    </cfRule>
    <cfRule type="expression" dxfId="6" priority="3">
      <formula>B16="Within ceiling"</formula>
    </cfRule>
  </conditionalFormatting>
  <pageMargins left="0.75" right="0.75" top="1" bottom="1" header="0.5" footer="0.5"/>
  <pageSetup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showGridLines="0" workbookViewId="0">
      <pane ySplit="3" topLeftCell="A4" activePane="bottomLeft" state="frozen"/>
      <selection pane="bottomLeft" activeCell="B13" sqref="B13"/>
    </sheetView>
  </sheetViews>
  <sheetFormatPr defaultRowHeight="15"/>
  <cols>
    <col min="1" max="3" width="50" customWidth="1"/>
    <col min="4" max="8" width="3" customWidth="1"/>
  </cols>
  <sheetData>
    <row r="1" spans="1:8" ht="23.25">
      <c r="A1" s="69" t="s">
        <v>64</v>
      </c>
      <c r="B1" s="70"/>
      <c r="C1" s="70"/>
      <c r="D1" s="70"/>
      <c r="E1" s="70"/>
      <c r="F1" s="70"/>
      <c r="G1" s="70"/>
      <c r="H1" s="70"/>
    </row>
    <row r="2" spans="1:8">
      <c r="A2" s="71" t="s">
        <v>65</v>
      </c>
      <c r="B2" s="70"/>
      <c r="C2" s="70"/>
      <c r="D2" s="70"/>
      <c r="E2" s="70"/>
      <c r="F2" s="70"/>
      <c r="G2" s="70"/>
      <c r="H2" s="70"/>
    </row>
    <row r="4" spans="1:8">
      <c r="A4" s="1" t="s">
        <v>66</v>
      </c>
      <c r="B4" s="1" t="s">
        <v>33</v>
      </c>
      <c r="C4" s="1" t="s">
        <v>67</v>
      </c>
    </row>
    <row r="5" spans="1:8" ht="30">
      <c r="A5" s="2" t="s">
        <v>68</v>
      </c>
      <c r="B5" s="10" t="s">
        <v>69</v>
      </c>
      <c r="C5" s="2" t="s">
        <v>70</v>
      </c>
    </row>
    <row r="6" spans="1:8" ht="30">
      <c r="A6" s="2" t="s">
        <v>71</v>
      </c>
      <c r="B6" s="11">
        <v>25.5</v>
      </c>
      <c r="C6" s="2" t="s">
        <v>72</v>
      </c>
    </row>
    <row r="7" spans="1:8">
      <c r="A7" s="2" t="s">
        <v>73</v>
      </c>
      <c r="B7" s="11">
        <v>30</v>
      </c>
      <c r="C7" s="2" t="s">
        <v>74</v>
      </c>
    </row>
    <row r="8" spans="1:8">
      <c r="A8" s="2" t="s">
        <v>75</v>
      </c>
      <c r="B8" s="12">
        <v>0.01</v>
      </c>
      <c r="C8" s="2" t="s">
        <v>76</v>
      </c>
    </row>
    <row r="9" spans="1:8">
      <c r="A9" s="2" t="s">
        <v>77</v>
      </c>
      <c r="B9" s="13">
        <v>25000</v>
      </c>
      <c r="C9" s="2" t="s">
        <v>78</v>
      </c>
    </row>
    <row r="10" spans="1:8">
      <c r="A10" s="2" t="s">
        <v>79</v>
      </c>
      <c r="B10" s="11">
        <v>200</v>
      </c>
      <c r="C10" s="2" t="s">
        <v>80</v>
      </c>
    </row>
    <row r="11" spans="1:8">
      <c r="A11" s="2" t="s">
        <v>53</v>
      </c>
      <c r="B11" s="11">
        <v>2000</v>
      </c>
      <c r="C11" s="2" t="s">
        <v>81</v>
      </c>
    </row>
    <row r="12" spans="1:8" ht="30">
      <c r="A12" s="2" t="s">
        <v>82</v>
      </c>
      <c r="B12" s="14">
        <v>0.8</v>
      </c>
      <c r="C12" s="2" t="s">
        <v>83</v>
      </c>
    </row>
    <row r="13" spans="1:8">
      <c r="A13" s="2" t="s">
        <v>84</v>
      </c>
      <c r="B13" s="10">
        <v>25</v>
      </c>
      <c r="C13" s="2" t="s">
        <v>85</v>
      </c>
    </row>
    <row r="14" spans="1:8" ht="30">
      <c r="A14" s="2" t="s">
        <v>86</v>
      </c>
      <c r="B14" s="10">
        <v>250</v>
      </c>
      <c r="C14" s="2" t="s">
        <v>87</v>
      </c>
    </row>
    <row r="15" spans="1:8">
      <c r="A15" s="2" t="s">
        <v>88</v>
      </c>
      <c r="B15" s="10">
        <v>20</v>
      </c>
      <c r="C15" s="2" t="s">
        <v>89</v>
      </c>
    </row>
    <row r="18" spans="1:8" ht="29.25" customHeight="1">
      <c r="A18" s="15" t="s">
        <v>90</v>
      </c>
      <c r="B18" s="68" t="s">
        <v>91</v>
      </c>
      <c r="C18" s="70"/>
      <c r="D18" s="70"/>
      <c r="E18" s="70"/>
      <c r="F18" s="70"/>
      <c r="G18" s="70"/>
      <c r="H18" s="70"/>
    </row>
  </sheetData>
  <mergeCells count="3">
    <mergeCell ref="A2:H2"/>
    <mergeCell ref="B18:H18"/>
    <mergeCell ref="A1:H1"/>
  </mergeCells>
  <dataValidations count="1">
    <dataValidation type="list" sqref="B5" xr:uid="{00000000-0002-0000-0100-000000000000}">
      <formula1>"Pilot,Enterprise"</formula1>
    </dataValidation>
  </dataValidations>
  <pageMargins left="0.75" right="0.75" top="1" bottom="1" header="0.5" footer="0.5"/>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8"/>
  <sheetViews>
    <sheetView showGridLines="0" workbookViewId="0">
      <pane ySplit="3" topLeftCell="A4" activePane="bottomLeft" state="frozen"/>
      <selection pane="bottomLeft" sqref="A1:H1"/>
    </sheetView>
  </sheetViews>
  <sheetFormatPr defaultRowHeight="15"/>
  <cols>
    <col min="1" max="1" width="50" customWidth="1"/>
    <col min="2" max="2" width="33" customWidth="1"/>
    <col min="3" max="5" width="50" customWidth="1"/>
    <col min="6" max="8" width="3" customWidth="1"/>
  </cols>
  <sheetData>
    <row r="1" spans="1:8" ht="23.25">
      <c r="A1" s="69" t="s">
        <v>92</v>
      </c>
      <c r="B1" s="70"/>
      <c r="C1" s="70"/>
      <c r="D1" s="70"/>
      <c r="E1" s="70"/>
      <c r="F1" s="70"/>
      <c r="G1" s="70"/>
      <c r="H1" s="70"/>
    </row>
    <row r="2" spans="1:8">
      <c r="A2" s="71" t="s">
        <v>93</v>
      </c>
      <c r="B2" s="70"/>
      <c r="C2" s="70"/>
      <c r="D2" s="70"/>
      <c r="E2" s="70"/>
      <c r="F2" s="70"/>
      <c r="G2" s="70"/>
      <c r="H2" s="70"/>
    </row>
    <row r="4" spans="1:8">
      <c r="A4" s="1" t="s">
        <v>94</v>
      </c>
      <c r="B4" s="1" t="s">
        <v>95</v>
      </c>
      <c r="C4" s="1" t="s">
        <v>96</v>
      </c>
      <c r="D4" s="1" t="s">
        <v>97</v>
      </c>
      <c r="E4" s="1" t="s">
        <v>67</v>
      </c>
    </row>
    <row r="5" spans="1:8">
      <c r="A5" s="2" t="s">
        <v>98</v>
      </c>
      <c r="B5" s="2">
        <v>3</v>
      </c>
      <c r="C5" s="2" t="s">
        <v>99</v>
      </c>
      <c r="D5" s="2" t="s">
        <v>100</v>
      </c>
      <c r="E5" s="2" t="s">
        <v>101</v>
      </c>
    </row>
    <row r="6" spans="1:8">
      <c r="A6" s="2" t="s">
        <v>13</v>
      </c>
      <c r="B6" s="2">
        <v>12</v>
      </c>
      <c r="C6" s="2" t="s">
        <v>102</v>
      </c>
      <c r="D6" s="2" t="s">
        <v>103</v>
      </c>
      <c r="E6" s="2" t="s">
        <v>104</v>
      </c>
    </row>
    <row r="7" spans="1:8" ht="30">
      <c r="A7" s="2" t="s">
        <v>105</v>
      </c>
      <c r="B7" s="2">
        <v>25</v>
      </c>
      <c r="C7" s="2" t="s">
        <v>106</v>
      </c>
      <c r="D7" s="2" t="s">
        <v>107</v>
      </c>
      <c r="E7" s="2" t="s">
        <v>108</v>
      </c>
    </row>
    <row r="8" spans="1:8">
      <c r="A8" s="2" t="s">
        <v>109</v>
      </c>
      <c r="B8" s="2" t="s">
        <v>110</v>
      </c>
      <c r="C8" s="2" t="s">
        <v>111</v>
      </c>
      <c r="D8" s="2" t="s">
        <v>112</v>
      </c>
      <c r="E8" s="2" t="s">
        <v>113</v>
      </c>
    </row>
    <row r="11" spans="1:8">
      <c r="A11" s="7" t="s">
        <v>114</v>
      </c>
    </row>
    <row r="12" spans="1:8">
      <c r="A12" s="1" t="s">
        <v>115</v>
      </c>
      <c r="B12" s="1" t="s">
        <v>116</v>
      </c>
      <c r="C12" s="1" t="s">
        <v>117</v>
      </c>
    </row>
    <row r="13" spans="1:8">
      <c r="A13" s="2" t="s">
        <v>118</v>
      </c>
      <c r="B13" s="2">
        <v>1</v>
      </c>
      <c r="C13" s="2" t="s">
        <v>119</v>
      </c>
    </row>
    <row r="14" spans="1:8">
      <c r="A14" s="2" t="s">
        <v>120</v>
      </c>
      <c r="B14" s="2">
        <v>2</v>
      </c>
      <c r="C14" s="2" t="s">
        <v>121</v>
      </c>
    </row>
    <row r="15" spans="1:8">
      <c r="A15" s="2" t="s">
        <v>122</v>
      </c>
      <c r="B15" s="2">
        <v>10</v>
      </c>
      <c r="C15" s="2" t="s">
        <v>123</v>
      </c>
    </row>
    <row r="16" spans="1:8" ht="30">
      <c r="A16" s="2" t="s">
        <v>124</v>
      </c>
      <c r="B16" s="2">
        <v>5</v>
      </c>
      <c r="C16" s="2" t="s">
        <v>125</v>
      </c>
    </row>
    <row r="17" spans="1:3">
      <c r="A17" s="2" t="s">
        <v>126</v>
      </c>
      <c r="B17" s="2" t="s">
        <v>127</v>
      </c>
      <c r="C17" s="2" t="s">
        <v>128</v>
      </c>
    </row>
    <row r="18" spans="1:3">
      <c r="A18" s="2" t="s">
        <v>129</v>
      </c>
      <c r="B18" s="2" t="s">
        <v>130</v>
      </c>
      <c r="C18" s="2" t="s">
        <v>131</v>
      </c>
    </row>
  </sheetData>
  <mergeCells count="2">
    <mergeCell ref="A2:H2"/>
    <mergeCell ref="A1:H1"/>
  </mergeCells>
  <pageMargins left="0.75" right="0.75" top="1" bottom="1" header="0.5" footer="0.5"/>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34"/>
  <sheetViews>
    <sheetView showGridLines="0" workbookViewId="0">
      <pane ySplit="4" topLeftCell="A5" activePane="bottomLeft" state="frozen"/>
      <selection pane="bottomLeft" sqref="A1:H1"/>
    </sheetView>
  </sheetViews>
  <sheetFormatPr defaultRowHeight="15"/>
  <cols>
    <col min="1" max="1" width="50" customWidth="1"/>
    <col min="2" max="2" width="43" customWidth="1"/>
    <col min="3" max="3" width="11" customWidth="1"/>
    <col min="4" max="4" width="30" customWidth="1"/>
    <col min="5" max="5" width="20" customWidth="1"/>
    <col min="6" max="6" width="31" customWidth="1"/>
    <col min="7" max="7" width="50" customWidth="1"/>
    <col min="8" max="8" width="23" customWidth="1"/>
    <col min="9" max="9" width="29" customWidth="1"/>
    <col min="10" max="10" width="31" customWidth="1"/>
    <col min="11" max="11" width="35" customWidth="1"/>
    <col min="12" max="12" width="28" customWidth="1"/>
    <col min="13" max="13" width="34" customWidth="1"/>
    <col min="14" max="14" width="31" customWidth="1"/>
    <col min="15" max="15" width="35" customWidth="1"/>
    <col min="16" max="16" width="50" customWidth="1"/>
    <col min="17" max="17" width="35" customWidth="1"/>
    <col min="18" max="18" width="50" customWidth="1"/>
    <col min="19" max="19" width="36" customWidth="1"/>
    <col min="20" max="23" width="50" customWidth="1"/>
  </cols>
  <sheetData>
    <row r="1" spans="1:23" ht="23.25">
      <c r="A1" s="69" t="s">
        <v>132</v>
      </c>
      <c r="B1" s="70"/>
      <c r="C1" s="70"/>
      <c r="D1" s="70"/>
      <c r="E1" s="70"/>
      <c r="F1" s="70"/>
      <c r="G1" s="70"/>
      <c r="H1" s="70"/>
    </row>
    <row r="2" spans="1:23">
      <c r="A2" s="71" t="s">
        <v>133</v>
      </c>
      <c r="B2" s="70"/>
      <c r="C2" s="70"/>
      <c r="D2" s="70"/>
      <c r="E2" s="70"/>
      <c r="F2" s="70"/>
      <c r="G2" s="70"/>
      <c r="H2" s="70"/>
    </row>
    <row r="4" spans="1:23">
      <c r="A4" s="16" t="s">
        <v>134</v>
      </c>
      <c r="B4" s="16" t="s">
        <v>135</v>
      </c>
      <c r="C4" s="16" t="s">
        <v>136</v>
      </c>
      <c r="D4" s="16" t="s">
        <v>137</v>
      </c>
      <c r="E4" s="16" t="s">
        <v>138</v>
      </c>
      <c r="F4" s="16" t="s">
        <v>139</v>
      </c>
      <c r="G4" s="16" t="s">
        <v>140</v>
      </c>
      <c r="H4" s="16" t="s">
        <v>141</v>
      </c>
      <c r="I4" s="16" t="s">
        <v>142</v>
      </c>
      <c r="J4" s="16" t="s">
        <v>143</v>
      </c>
      <c r="K4" s="16" t="s">
        <v>144</v>
      </c>
      <c r="L4" s="16" t="s">
        <v>145</v>
      </c>
      <c r="M4" s="16" t="s">
        <v>146</v>
      </c>
      <c r="N4" s="16" t="s">
        <v>147</v>
      </c>
      <c r="O4" s="16" t="s">
        <v>148</v>
      </c>
      <c r="P4" s="16" t="s">
        <v>149</v>
      </c>
      <c r="Q4" s="16" t="s">
        <v>150</v>
      </c>
      <c r="R4" s="16" t="s">
        <v>151</v>
      </c>
      <c r="S4" s="16" t="s">
        <v>152</v>
      </c>
      <c r="T4" s="16" t="s">
        <v>153</v>
      </c>
      <c r="U4" s="16" t="s">
        <v>154</v>
      </c>
      <c r="V4" s="16" t="s">
        <v>155</v>
      </c>
      <c r="W4" s="16" t="s">
        <v>156</v>
      </c>
    </row>
    <row r="5" spans="1:23" ht="30">
      <c r="A5" s="2" t="s">
        <v>157</v>
      </c>
      <c r="B5" s="2" t="s">
        <v>158</v>
      </c>
      <c r="C5" s="17" t="s">
        <v>159</v>
      </c>
      <c r="D5" s="17" t="s">
        <v>160</v>
      </c>
      <c r="E5" s="17" t="s">
        <v>13</v>
      </c>
      <c r="F5" s="17"/>
      <c r="G5" s="2">
        <f t="shared" ref="G5:G34" si="0">IF(E5="Low",3,IF(E5="Medium",12,IF(E5="High",25,IF(E5="Custom",F5,0))))</f>
        <v>12</v>
      </c>
      <c r="H5" s="17">
        <v>25</v>
      </c>
      <c r="I5" s="17">
        <v>8</v>
      </c>
      <c r="J5" s="4">
        <f t="shared" ref="J5:J34" si="1">IF(C5="Yes",H5*I5*G5,0)</f>
        <v>2400</v>
      </c>
      <c r="K5" s="5">
        <f>J5*'Inputs &amp; Assumptions'!$B$8</f>
        <v>24</v>
      </c>
      <c r="L5" s="17">
        <v>250</v>
      </c>
      <c r="M5" s="17">
        <v>8</v>
      </c>
      <c r="N5" s="4">
        <f t="shared" ref="N5:N34" si="2">IF(C5="Yes",L5*M5*G5,0)</f>
        <v>24000</v>
      </c>
      <c r="O5" s="5">
        <f>N5*'Inputs &amp; Assumptions'!$B$8</f>
        <v>240</v>
      </c>
      <c r="P5" s="4">
        <f>IF('Inputs &amp; Assumptions'!$B$5="Pilot",J5,N5)</f>
        <v>2400</v>
      </c>
      <c r="Q5" s="5">
        <f>P5*'Inputs &amp; Assumptions'!$B$8</f>
        <v>24</v>
      </c>
      <c r="R5" s="4">
        <f>IF(P5&gt;0,ROUNDUP(P5/'Inputs &amp; Assumptions'!$B$9,0),0)</f>
        <v>1</v>
      </c>
      <c r="S5" s="5">
        <f>R5*'Inputs &amp; Assumptions'!$B$10</f>
        <v>200</v>
      </c>
      <c r="T5" s="2" t="str">
        <f t="shared" ref="T5:T34" si="3">IF(P5=0,"No spend",IF(Q5&lt;=S5,"PAYG","Capacity Pack"))</f>
        <v>PAYG</v>
      </c>
      <c r="U5" s="2" t="str">
        <f>IF(Q5=0,"None",IF(Q5&gt;'Inputs &amp; Assumptions'!$B$11,"High",IF(Q5&gt;'Inputs &amp; Assumptions'!$B$11*'Inputs &amp; Assumptions'!$B$12,"Caution","Low")))</f>
        <v>Low</v>
      </c>
      <c r="V5" s="2" t="str">
        <f>IF(C5&lt;&gt;"Yes","Not included",IF(D5="Internal Licensed Employees",IF(Q5&lt;=(L5*'Inputs &amp; Assumptions'!$B$6),"Compare to M365 Copilot; functionality may favor user licensing","Agent spend exceeds user-license equivalent"),IF(T5="PAYG","Good pilot/PAYG candidate","Consider cap via capacity packs")))</f>
        <v>Compare to M365 Copilot; functionality may favor user licensing</v>
      </c>
      <c r="W5" s="17" t="s">
        <v>161</v>
      </c>
    </row>
    <row r="6" spans="1:23">
      <c r="A6" s="2" t="s">
        <v>162</v>
      </c>
      <c r="B6" s="2" t="s">
        <v>163</v>
      </c>
      <c r="C6" s="17" t="s">
        <v>159</v>
      </c>
      <c r="D6" s="17" t="s">
        <v>164</v>
      </c>
      <c r="E6" s="17" t="s">
        <v>98</v>
      </c>
      <c r="F6" s="17"/>
      <c r="G6" s="2">
        <f t="shared" si="0"/>
        <v>3</v>
      </c>
      <c r="H6" s="17">
        <v>1000</v>
      </c>
      <c r="I6" s="17">
        <v>3</v>
      </c>
      <c r="J6" s="4">
        <f t="shared" si="1"/>
        <v>9000</v>
      </c>
      <c r="K6" s="5">
        <f>J6*'Inputs &amp; Assumptions'!$B$8</f>
        <v>90</v>
      </c>
      <c r="L6" s="17">
        <v>15000</v>
      </c>
      <c r="M6" s="17">
        <v>4</v>
      </c>
      <c r="N6" s="4">
        <f t="shared" si="2"/>
        <v>180000</v>
      </c>
      <c r="O6" s="5">
        <f>N6*'Inputs &amp; Assumptions'!$B$8</f>
        <v>1800</v>
      </c>
      <c r="P6" s="4">
        <f>IF('Inputs &amp; Assumptions'!$B$5="Pilot",J6,N6)</f>
        <v>9000</v>
      </c>
      <c r="Q6" s="5">
        <f>P6*'Inputs &amp; Assumptions'!$B$8</f>
        <v>90</v>
      </c>
      <c r="R6" s="4">
        <f>IF(P6&gt;0,ROUNDUP(P6/'Inputs &amp; Assumptions'!$B$9,0),0)</f>
        <v>1</v>
      </c>
      <c r="S6" s="5">
        <f>R6*'Inputs &amp; Assumptions'!$B$10</f>
        <v>200</v>
      </c>
      <c r="T6" s="2" t="str">
        <f t="shared" si="3"/>
        <v>PAYG</v>
      </c>
      <c r="U6" s="2" t="str">
        <f>IF(Q6=0,"None",IF(Q6&gt;'Inputs &amp; Assumptions'!$B$11,"High",IF(Q6&gt;'Inputs &amp; Assumptions'!$B$11*'Inputs &amp; Assumptions'!$B$12,"Caution","Low")))</f>
        <v>Low</v>
      </c>
      <c r="V6" s="2" t="str">
        <f>IF(C6&lt;&gt;"Yes","Not included",IF(D6="Internal Licensed Employees",IF(Q6&lt;=(L6*'Inputs &amp; Assumptions'!$B$6),"Compare to M365 Copilot; functionality may favor user licensing","Agent spend exceeds user-license equivalent"),IF(T6="PAYG","Good pilot/PAYG candidate","Consider cap via capacity packs")))</f>
        <v>Good pilot/PAYG candidate</v>
      </c>
      <c r="W6" s="17" t="s">
        <v>165</v>
      </c>
    </row>
    <row r="7" spans="1:23" ht="30">
      <c r="A7" s="2" t="s">
        <v>166</v>
      </c>
      <c r="B7" s="2" t="s">
        <v>167</v>
      </c>
      <c r="C7" s="17" t="s">
        <v>159</v>
      </c>
      <c r="D7" s="17" t="s">
        <v>164</v>
      </c>
      <c r="E7" s="17" t="s">
        <v>105</v>
      </c>
      <c r="F7" s="17"/>
      <c r="G7" s="2">
        <f t="shared" si="0"/>
        <v>25</v>
      </c>
      <c r="H7" s="17">
        <v>500</v>
      </c>
      <c r="I7" s="17">
        <v>4</v>
      </c>
      <c r="J7" s="4">
        <f t="shared" si="1"/>
        <v>50000</v>
      </c>
      <c r="K7" s="5">
        <f>J7*'Inputs &amp; Assumptions'!$B$8</f>
        <v>500</v>
      </c>
      <c r="L7" s="17">
        <v>8000</v>
      </c>
      <c r="M7" s="17">
        <v>5</v>
      </c>
      <c r="N7" s="4">
        <f t="shared" si="2"/>
        <v>1000000</v>
      </c>
      <c r="O7" s="5">
        <f>N7*'Inputs &amp; Assumptions'!$B$8</f>
        <v>10000</v>
      </c>
      <c r="P7" s="4">
        <f>IF('Inputs &amp; Assumptions'!$B$5="Pilot",J7,N7)</f>
        <v>50000</v>
      </c>
      <c r="Q7" s="5">
        <f>P7*'Inputs &amp; Assumptions'!$B$8</f>
        <v>500</v>
      </c>
      <c r="R7" s="4">
        <f>IF(P7&gt;0,ROUNDUP(P7/'Inputs &amp; Assumptions'!$B$9,0),0)</f>
        <v>2</v>
      </c>
      <c r="S7" s="5">
        <f>R7*'Inputs &amp; Assumptions'!$B$10</f>
        <v>400</v>
      </c>
      <c r="T7" s="2" t="str">
        <f t="shared" si="3"/>
        <v>Capacity Pack</v>
      </c>
      <c r="U7" s="2" t="str">
        <f>IF(Q7=0,"None",IF(Q7&gt;'Inputs &amp; Assumptions'!$B$11,"High",IF(Q7&gt;'Inputs &amp; Assumptions'!$B$11*'Inputs &amp; Assumptions'!$B$12,"Caution","Low")))</f>
        <v>Low</v>
      </c>
      <c r="V7" s="2" t="str">
        <f>IF(C7&lt;&gt;"Yes","Not included",IF(D7="Internal Licensed Employees",IF(Q7&lt;=(L7*'Inputs &amp; Assumptions'!$B$6),"Compare to M365 Copilot; functionality may favor user licensing","Agent spend exceeds user-license equivalent"),IF(T7="PAYG","Good pilot/PAYG candidate","Consider cap via capacity packs")))</f>
        <v>Consider cap via capacity packs</v>
      </c>
      <c r="W7" s="17" t="s">
        <v>168</v>
      </c>
    </row>
    <row r="8" spans="1:23">
      <c r="A8" s="2" t="s">
        <v>169</v>
      </c>
      <c r="B8" s="2" t="s">
        <v>170</v>
      </c>
      <c r="C8" s="17" t="s">
        <v>171</v>
      </c>
      <c r="D8" s="17" t="s">
        <v>172</v>
      </c>
      <c r="E8" s="17" t="s">
        <v>105</v>
      </c>
      <c r="F8" s="17"/>
      <c r="G8" s="2">
        <f t="shared" si="0"/>
        <v>25</v>
      </c>
      <c r="H8" s="17">
        <v>50</v>
      </c>
      <c r="I8" s="17">
        <v>5</v>
      </c>
      <c r="J8" s="4">
        <f t="shared" si="1"/>
        <v>0</v>
      </c>
      <c r="K8" s="5">
        <f>J8*'Inputs &amp; Assumptions'!$B$8</f>
        <v>0</v>
      </c>
      <c r="L8" s="17">
        <v>250</v>
      </c>
      <c r="M8" s="17">
        <v>8</v>
      </c>
      <c r="N8" s="4">
        <f t="shared" si="2"/>
        <v>0</v>
      </c>
      <c r="O8" s="5">
        <f>N8*'Inputs &amp; Assumptions'!$B$8</f>
        <v>0</v>
      </c>
      <c r="P8" s="4">
        <f>IF('Inputs &amp; Assumptions'!$B$5="Pilot",J8,N8)</f>
        <v>0</v>
      </c>
      <c r="Q8" s="5">
        <f>P8*'Inputs &amp; Assumptions'!$B$8</f>
        <v>0</v>
      </c>
      <c r="R8" s="4">
        <f>IF(P8&gt;0,ROUNDUP(P8/'Inputs &amp; Assumptions'!$B$9,0),0)</f>
        <v>0</v>
      </c>
      <c r="S8" s="5">
        <f>R8*'Inputs &amp; Assumptions'!$B$10</f>
        <v>0</v>
      </c>
      <c r="T8" s="2" t="str">
        <f t="shared" si="3"/>
        <v>No spend</v>
      </c>
      <c r="U8" s="2" t="str">
        <f>IF(Q8=0,"None",IF(Q8&gt;'Inputs &amp; Assumptions'!$B$11,"High",IF(Q8&gt;'Inputs &amp; Assumptions'!$B$11*'Inputs &amp; Assumptions'!$B$12,"Caution","Low")))</f>
        <v>None</v>
      </c>
      <c r="V8" s="2" t="str">
        <f>IF(C8&lt;&gt;"Yes","Not included",IF(D8="Internal Licensed Employees",IF(Q8&lt;=(L8*'Inputs &amp; Assumptions'!$B$6),"Compare to M365 Copilot; functionality may favor user licensing","Agent spend exceeds user-license equivalent"),IF(T8="PAYG","Good pilot/PAYG candidate","Consider cap via capacity packs")))</f>
        <v>Not included</v>
      </c>
      <c r="W8" s="17" t="s">
        <v>173</v>
      </c>
    </row>
    <row r="9" spans="1:23" ht="30">
      <c r="A9" s="2" t="s">
        <v>174</v>
      </c>
      <c r="B9" s="2" t="s">
        <v>175</v>
      </c>
      <c r="C9" s="17" t="s">
        <v>159</v>
      </c>
      <c r="D9" s="17" t="s">
        <v>160</v>
      </c>
      <c r="E9" s="17" t="s">
        <v>13</v>
      </c>
      <c r="F9" s="17"/>
      <c r="G9" s="2">
        <f t="shared" si="0"/>
        <v>12</v>
      </c>
      <c r="H9" s="17">
        <v>20</v>
      </c>
      <c r="I9" s="17">
        <v>12</v>
      </c>
      <c r="J9" s="4">
        <f t="shared" si="1"/>
        <v>2880</v>
      </c>
      <c r="K9" s="5">
        <f>J9*'Inputs &amp; Assumptions'!$B$8</f>
        <v>28.8</v>
      </c>
      <c r="L9" s="17">
        <v>100</v>
      </c>
      <c r="M9" s="17">
        <v>12</v>
      </c>
      <c r="N9" s="4">
        <f t="shared" si="2"/>
        <v>14400</v>
      </c>
      <c r="O9" s="5">
        <f>N9*'Inputs &amp; Assumptions'!$B$8</f>
        <v>144</v>
      </c>
      <c r="P9" s="4">
        <f>IF('Inputs &amp; Assumptions'!$B$5="Pilot",J9,N9)</f>
        <v>2880</v>
      </c>
      <c r="Q9" s="5">
        <f>P9*'Inputs &amp; Assumptions'!$B$8</f>
        <v>28.8</v>
      </c>
      <c r="R9" s="4">
        <f>IF(P9&gt;0,ROUNDUP(P9/'Inputs &amp; Assumptions'!$B$9,0),0)</f>
        <v>1</v>
      </c>
      <c r="S9" s="5">
        <f>R9*'Inputs &amp; Assumptions'!$B$10</f>
        <v>200</v>
      </c>
      <c r="T9" s="2" t="str">
        <f t="shared" si="3"/>
        <v>PAYG</v>
      </c>
      <c r="U9" s="2" t="str">
        <f>IF(Q9=0,"None",IF(Q9&gt;'Inputs &amp; Assumptions'!$B$11,"High",IF(Q9&gt;'Inputs &amp; Assumptions'!$B$11*'Inputs &amp; Assumptions'!$B$12,"Caution","Low")))</f>
        <v>Low</v>
      </c>
      <c r="V9" s="2" t="str">
        <f>IF(C9&lt;&gt;"Yes","Not included",IF(D9="Internal Licensed Employees",IF(Q9&lt;=(L9*'Inputs &amp; Assumptions'!$B$6),"Compare to M365 Copilot; functionality may favor user licensing","Agent spend exceeds user-license equivalent"),IF(T9="PAYG","Good pilot/PAYG candidate","Consider cap via capacity packs")))</f>
        <v>Compare to M365 Copilot; functionality may favor user licensing</v>
      </c>
      <c r="W9" s="17" t="s">
        <v>176</v>
      </c>
    </row>
    <row r="10" spans="1:23">
      <c r="A10" s="2"/>
      <c r="B10" s="2"/>
      <c r="C10" s="17"/>
      <c r="D10" s="17"/>
      <c r="E10" s="17"/>
      <c r="F10" s="17"/>
      <c r="G10" s="2">
        <f t="shared" si="0"/>
        <v>0</v>
      </c>
      <c r="H10" s="17"/>
      <c r="I10" s="17"/>
      <c r="J10" s="4">
        <f t="shared" si="1"/>
        <v>0</v>
      </c>
      <c r="K10" s="5">
        <f>J10*'Inputs &amp; Assumptions'!$B$8</f>
        <v>0</v>
      </c>
      <c r="L10" s="17"/>
      <c r="M10" s="17"/>
      <c r="N10" s="4">
        <f t="shared" si="2"/>
        <v>0</v>
      </c>
      <c r="O10" s="5">
        <f>N10*'Inputs &amp; Assumptions'!$B$8</f>
        <v>0</v>
      </c>
      <c r="P10" s="4">
        <f>IF('Inputs &amp; Assumptions'!$B$5="Pilot",J10,N10)</f>
        <v>0</v>
      </c>
      <c r="Q10" s="5">
        <f>P10*'Inputs &amp; Assumptions'!$B$8</f>
        <v>0</v>
      </c>
      <c r="R10" s="4">
        <f>IF(P10&gt;0,ROUNDUP(P10/'Inputs &amp; Assumptions'!$B$9,0),0)</f>
        <v>0</v>
      </c>
      <c r="S10" s="5">
        <f>R10*'Inputs &amp; Assumptions'!$B$10</f>
        <v>0</v>
      </c>
      <c r="T10" s="2" t="str">
        <f t="shared" si="3"/>
        <v>No spend</v>
      </c>
      <c r="U10" s="2" t="str">
        <f>IF(Q10=0,"None",IF(Q10&gt;'Inputs &amp; Assumptions'!$B$11,"High",IF(Q10&gt;'Inputs &amp; Assumptions'!$B$11*'Inputs &amp; Assumptions'!$B$12,"Caution","Low")))</f>
        <v>None</v>
      </c>
      <c r="V10" s="2" t="str">
        <f>IF(C10&lt;&gt;"Yes","Not included",IF(D10="Internal Licensed Employees",IF(Q10&lt;=(L10*'Inputs &amp; Assumptions'!$B$6),"Compare to M365 Copilot; functionality may favor user licensing","Agent spend exceeds user-license equivalent"),IF(T10="PAYG","Good pilot/PAYG candidate","Consider cap via capacity packs")))</f>
        <v>Not included</v>
      </c>
      <c r="W10" s="17"/>
    </row>
    <row r="11" spans="1:23">
      <c r="A11" s="2"/>
      <c r="B11" s="2"/>
      <c r="C11" s="17"/>
      <c r="D11" s="17"/>
      <c r="E11" s="17"/>
      <c r="F11" s="17"/>
      <c r="G11" s="2">
        <f t="shared" si="0"/>
        <v>0</v>
      </c>
      <c r="H11" s="17"/>
      <c r="I11" s="17"/>
      <c r="J11" s="4">
        <f t="shared" si="1"/>
        <v>0</v>
      </c>
      <c r="K11" s="5">
        <f>J11*'Inputs &amp; Assumptions'!$B$8</f>
        <v>0</v>
      </c>
      <c r="L11" s="17"/>
      <c r="M11" s="17"/>
      <c r="N11" s="4">
        <f t="shared" si="2"/>
        <v>0</v>
      </c>
      <c r="O11" s="5">
        <f>N11*'Inputs &amp; Assumptions'!$B$8</f>
        <v>0</v>
      </c>
      <c r="P11" s="4">
        <f>IF('Inputs &amp; Assumptions'!$B$5="Pilot",J11,N11)</f>
        <v>0</v>
      </c>
      <c r="Q11" s="5">
        <f>P11*'Inputs &amp; Assumptions'!$B$8</f>
        <v>0</v>
      </c>
      <c r="R11" s="4">
        <f>IF(P11&gt;0,ROUNDUP(P11/'Inputs &amp; Assumptions'!$B$9,0),0)</f>
        <v>0</v>
      </c>
      <c r="S11" s="5">
        <f>R11*'Inputs &amp; Assumptions'!$B$10</f>
        <v>0</v>
      </c>
      <c r="T11" s="2" t="str">
        <f t="shared" si="3"/>
        <v>No spend</v>
      </c>
      <c r="U11" s="2" t="str">
        <f>IF(Q11=0,"None",IF(Q11&gt;'Inputs &amp; Assumptions'!$B$11,"High",IF(Q11&gt;'Inputs &amp; Assumptions'!$B$11*'Inputs &amp; Assumptions'!$B$12,"Caution","Low")))</f>
        <v>None</v>
      </c>
      <c r="V11" s="2" t="str">
        <f>IF(C11&lt;&gt;"Yes","Not included",IF(D11="Internal Licensed Employees",IF(Q11&lt;=(L11*'Inputs &amp; Assumptions'!$B$6),"Compare to M365 Copilot; functionality may favor user licensing","Agent spend exceeds user-license equivalent"),IF(T11="PAYG","Good pilot/PAYG candidate","Consider cap via capacity packs")))</f>
        <v>Not included</v>
      </c>
      <c r="W11" s="17"/>
    </row>
    <row r="12" spans="1:23">
      <c r="A12" s="2"/>
      <c r="B12" s="2"/>
      <c r="C12" s="17"/>
      <c r="D12" s="17"/>
      <c r="E12" s="17"/>
      <c r="F12" s="17"/>
      <c r="G12" s="2">
        <f t="shared" si="0"/>
        <v>0</v>
      </c>
      <c r="H12" s="17"/>
      <c r="I12" s="17"/>
      <c r="J12" s="4">
        <f t="shared" si="1"/>
        <v>0</v>
      </c>
      <c r="K12" s="5">
        <f>J12*'Inputs &amp; Assumptions'!$B$8</f>
        <v>0</v>
      </c>
      <c r="L12" s="17"/>
      <c r="M12" s="17"/>
      <c r="N12" s="4">
        <f t="shared" si="2"/>
        <v>0</v>
      </c>
      <c r="O12" s="5">
        <f>N12*'Inputs &amp; Assumptions'!$B$8</f>
        <v>0</v>
      </c>
      <c r="P12" s="4">
        <f>IF('Inputs &amp; Assumptions'!$B$5="Pilot",J12,N12)</f>
        <v>0</v>
      </c>
      <c r="Q12" s="5">
        <f>P12*'Inputs &amp; Assumptions'!$B$8</f>
        <v>0</v>
      </c>
      <c r="R12" s="4">
        <f>IF(P12&gt;0,ROUNDUP(P12/'Inputs &amp; Assumptions'!$B$9,0),0)</f>
        <v>0</v>
      </c>
      <c r="S12" s="5">
        <f>R12*'Inputs &amp; Assumptions'!$B$10</f>
        <v>0</v>
      </c>
      <c r="T12" s="2" t="str">
        <f t="shared" si="3"/>
        <v>No spend</v>
      </c>
      <c r="U12" s="2" t="str">
        <f>IF(Q12=0,"None",IF(Q12&gt;'Inputs &amp; Assumptions'!$B$11,"High",IF(Q12&gt;'Inputs &amp; Assumptions'!$B$11*'Inputs &amp; Assumptions'!$B$12,"Caution","Low")))</f>
        <v>None</v>
      </c>
      <c r="V12" s="2" t="str">
        <f>IF(C12&lt;&gt;"Yes","Not included",IF(D12="Internal Licensed Employees",IF(Q12&lt;=(L12*'Inputs &amp; Assumptions'!$B$6),"Compare to M365 Copilot; functionality may favor user licensing","Agent spend exceeds user-license equivalent"),IF(T12="PAYG","Good pilot/PAYG candidate","Consider cap via capacity packs")))</f>
        <v>Not included</v>
      </c>
      <c r="W12" s="17"/>
    </row>
    <row r="13" spans="1:23">
      <c r="A13" s="2"/>
      <c r="B13" s="2"/>
      <c r="C13" s="17"/>
      <c r="D13" s="17"/>
      <c r="E13" s="17"/>
      <c r="F13" s="17"/>
      <c r="G13" s="2">
        <f t="shared" si="0"/>
        <v>0</v>
      </c>
      <c r="H13" s="17"/>
      <c r="I13" s="17"/>
      <c r="J13" s="4">
        <f t="shared" si="1"/>
        <v>0</v>
      </c>
      <c r="K13" s="5">
        <f>J13*'Inputs &amp; Assumptions'!$B$8</f>
        <v>0</v>
      </c>
      <c r="L13" s="17"/>
      <c r="M13" s="17"/>
      <c r="N13" s="4">
        <f t="shared" si="2"/>
        <v>0</v>
      </c>
      <c r="O13" s="5">
        <f>N13*'Inputs &amp; Assumptions'!$B$8</f>
        <v>0</v>
      </c>
      <c r="P13" s="4">
        <f>IF('Inputs &amp; Assumptions'!$B$5="Pilot",J13,N13)</f>
        <v>0</v>
      </c>
      <c r="Q13" s="5">
        <f>P13*'Inputs &amp; Assumptions'!$B$8</f>
        <v>0</v>
      </c>
      <c r="R13" s="4">
        <f>IF(P13&gt;0,ROUNDUP(P13/'Inputs &amp; Assumptions'!$B$9,0),0)</f>
        <v>0</v>
      </c>
      <c r="S13" s="5">
        <f>R13*'Inputs &amp; Assumptions'!$B$10</f>
        <v>0</v>
      </c>
      <c r="T13" s="2" t="str">
        <f t="shared" si="3"/>
        <v>No spend</v>
      </c>
      <c r="U13" s="2" t="str">
        <f>IF(Q13=0,"None",IF(Q13&gt;'Inputs &amp; Assumptions'!$B$11,"High",IF(Q13&gt;'Inputs &amp; Assumptions'!$B$11*'Inputs &amp; Assumptions'!$B$12,"Caution","Low")))</f>
        <v>None</v>
      </c>
      <c r="V13" s="2" t="str">
        <f>IF(C13&lt;&gt;"Yes","Not included",IF(D13="Internal Licensed Employees",IF(Q13&lt;=(L13*'Inputs &amp; Assumptions'!$B$6),"Compare to M365 Copilot; functionality may favor user licensing","Agent spend exceeds user-license equivalent"),IF(T13="PAYG","Good pilot/PAYG candidate","Consider cap via capacity packs")))</f>
        <v>Not included</v>
      </c>
      <c r="W13" s="17"/>
    </row>
    <row r="14" spans="1:23">
      <c r="A14" s="2"/>
      <c r="B14" s="2"/>
      <c r="C14" s="17"/>
      <c r="D14" s="17"/>
      <c r="E14" s="17"/>
      <c r="F14" s="17"/>
      <c r="G14" s="2">
        <f t="shared" si="0"/>
        <v>0</v>
      </c>
      <c r="H14" s="17"/>
      <c r="I14" s="17"/>
      <c r="J14" s="4">
        <f t="shared" si="1"/>
        <v>0</v>
      </c>
      <c r="K14" s="5">
        <f>J14*'Inputs &amp; Assumptions'!$B$8</f>
        <v>0</v>
      </c>
      <c r="L14" s="17"/>
      <c r="M14" s="17"/>
      <c r="N14" s="4">
        <f t="shared" si="2"/>
        <v>0</v>
      </c>
      <c r="O14" s="5">
        <f>N14*'Inputs &amp; Assumptions'!$B$8</f>
        <v>0</v>
      </c>
      <c r="P14" s="4">
        <f>IF('Inputs &amp; Assumptions'!$B$5="Pilot",J14,N14)</f>
        <v>0</v>
      </c>
      <c r="Q14" s="5">
        <f>P14*'Inputs &amp; Assumptions'!$B$8</f>
        <v>0</v>
      </c>
      <c r="R14" s="4">
        <f>IF(P14&gt;0,ROUNDUP(P14/'Inputs &amp; Assumptions'!$B$9,0),0)</f>
        <v>0</v>
      </c>
      <c r="S14" s="5">
        <f>R14*'Inputs &amp; Assumptions'!$B$10</f>
        <v>0</v>
      </c>
      <c r="T14" s="2" t="str">
        <f t="shared" si="3"/>
        <v>No spend</v>
      </c>
      <c r="U14" s="2" t="str">
        <f>IF(Q14=0,"None",IF(Q14&gt;'Inputs &amp; Assumptions'!$B$11,"High",IF(Q14&gt;'Inputs &amp; Assumptions'!$B$11*'Inputs &amp; Assumptions'!$B$12,"Caution","Low")))</f>
        <v>None</v>
      </c>
      <c r="V14" s="2" t="str">
        <f>IF(C14&lt;&gt;"Yes","Not included",IF(D14="Internal Licensed Employees",IF(Q14&lt;=(L14*'Inputs &amp; Assumptions'!$B$6),"Compare to M365 Copilot; functionality may favor user licensing","Agent spend exceeds user-license equivalent"),IF(T14="PAYG","Good pilot/PAYG candidate","Consider cap via capacity packs")))</f>
        <v>Not included</v>
      </c>
      <c r="W14" s="17"/>
    </row>
    <row r="15" spans="1:23">
      <c r="A15" s="2"/>
      <c r="B15" s="2"/>
      <c r="C15" s="17"/>
      <c r="D15" s="17"/>
      <c r="E15" s="17"/>
      <c r="F15" s="17"/>
      <c r="G15" s="2">
        <f t="shared" si="0"/>
        <v>0</v>
      </c>
      <c r="H15" s="17"/>
      <c r="I15" s="17"/>
      <c r="J15" s="4">
        <f t="shared" si="1"/>
        <v>0</v>
      </c>
      <c r="K15" s="5">
        <f>J15*'Inputs &amp; Assumptions'!$B$8</f>
        <v>0</v>
      </c>
      <c r="L15" s="17"/>
      <c r="M15" s="17"/>
      <c r="N15" s="4">
        <f t="shared" si="2"/>
        <v>0</v>
      </c>
      <c r="O15" s="5">
        <f>N15*'Inputs &amp; Assumptions'!$B$8</f>
        <v>0</v>
      </c>
      <c r="P15" s="4">
        <f>IF('Inputs &amp; Assumptions'!$B$5="Pilot",J15,N15)</f>
        <v>0</v>
      </c>
      <c r="Q15" s="5">
        <f>P15*'Inputs &amp; Assumptions'!$B$8</f>
        <v>0</v>
      </c>
      <c r="R15" s="4">
        <f>IF(P15&gt;0,ROUNDUP(P15/'Inputs &amp; Assumptions'!$B$9,0),0)</f>
        <v>0</v>
      </c>
      <c r="S15" s="5">
        <f>R15*'Inputs &amp; Assumptions'!$B$10</f>
        <v>0</v>
      </c>
      <c r="T15" s="2" t="str">
        <f t="shared" si="3"/>
        <v>No spend</v>
      </c>
      <c r="U15" s="2" t="str">
        <f>IF(Q15=0,"None",IF(Q15&gt;'Inputs &amp; Assumptions'!$B$11,"High",IF(Q15&gt;'Inputs &amp; Assumptions'!$B$11*'Inputs &amp; Assumptions'!$B$12,"Caution","Low")))</f>
        <v>None</v>
      </c>
      <c r="V15" s="2" t="str">
        <f>IF(C15&lt;&gt;"Yes","Not included",IF(D15="Internal Licensed Employees",IF(Q15&lt;=(L15*'Inputs &amp; Assumptions'!$B$6),"Compare to M365 Copilot; functionality may favor user licensing","Agent spend exceeds user-license equivalent"),IF(T15="PAYG","Good pilot/PAYG candidate","Consider cap via capacity packs")))</f>
        <v>Not included</v>
      </c>
      <c r="W15" s="17"/>
    </row>
    <row r="16" spans="1:23">
      <c r="A16" s="2"/>
      <c r="B16" s="2"/>
      <c r="C16" s="17"/>
      <c r="D16" s="17"/>
      <c r="E16" s="17"/>
      <c r="F16" s="17"/>
      <c r="G16" s="2">
        <f t="shared" si="0"/>
        <v>0</v>
      </c>
      <c r="H16" s="17"/>
      <c r="I16" s="17"/>
      <c r="J16" s="4">
        <f t="shared" si="1"/>
        <v>0</v>
      </c>
      <c r="K16" s="5">
        <f>J16*'Inputs &amp; Assumptions'!$B$8</f>
        <v>0</v>
      </c>
      <c r="L16" s="17"/>
      <c r="M16" s="17"/>
      <c r="N16" s="4">
        <f t="shared" si="2"/>
        <v>0</v>
      </c>
      <c r="O16" s="5">
        <f>N16*'Inputs &amp; Assumptions'!$B$8</f>
        <v>0</v>
      </c>
      <c r="P16" s="4">
        <f>IF('Inputs &amp; Assumptions'!$B$5="Pilot",J16,N16)</f>
        <v>0</v>
      </c>
      <c r="Q16" s="5">
        <f>P16*'Inputs &amp; Assumptions'!$B$8</f>
        <v>0</v>
      </c>
      <c r="R16" s="4">
        <f>IF(P16&gt;0,ROUNDUP(P16/'Inputs &amp; Assumptions'!$B$9,0),0)</f>
        <v>0</v>
      </c>
      <c r="S16" s="5">
        <f>R16*'Inputs &amp; Assumptions'!$B$10</f>
        <v>0</v>
      </c>
      <c r="T16" s="2" t="str">
        <f t="shared" si="3"/>
        <v>No spend</v>
      </c>
      <c r="U16" s="2" t="str">
        <f>IF(Q16=0,"None",IF(Q16&gt;'Inputs &amp; Assumptions'!$B$11,"High",IF(Q16&gt;'Inputs &amp; Assumptions'!$B$11*'Inputs &amp; Assumptions'!$B$12,"Caution","Low")))</f>
        <v>None</v>
      </c>
      <c r="V16" s="2" t="str">
        <f>IF(C16&lt;&gt;"Yes","Not included",IF(D16="Internal Licensed Employees",IF(Q16&lt;=(L16*'Inputs &amp; Assumptions'!$B$6),"Compare to M365 Copilot; functionality may favor user licensing","Agent spend exceeds user-license equivalent"),IF(T16="PAYG","Good pilot/PAYG candidate","Consider cap via capacity packs")))</f>
        <v>Not included</v>
      </c>
      <c r="W16" s="17"/>
    </row>
    <row r="17" spans="1:23">
      <c r="A17" s="2"/>
      <c r="B17" s="2"/>
      <c r="C17" s="17"/>
      <c r="D17" s="17"/>
      <c r="E17" s="17"/>
      <c r="F17" s="17"/>
      <c r="G17" s="2">
        <f t="shared" si="0"/>
        <v>0</v>
      </c>
      <c r="H17" s="17"/>
      <c r="I17" s="17"/>
      <c r="J17" s="4">
        <f t="shared" si="1"/>
        <v>0</v>
      </c>
      <c r="K17" s="5">
        <f>J17*'Inputs &amp; Assumptions'!$B$8</f>
        <v>0</v>
      </c>
      <c r="L17" s="17"/>
      <c r="M17" s="17"/>
      <c r="N17" s="4">
        <f t="shared" si="2"/>
        <v>0</v>
      </c>
      <c r="O17" s="5">
        <f>N17*'Inputs &amp; Assumptions'!$B$8</f>
        <v>0</v>
      </c>
      <c r="P17" s="4">
        <f>IF('Inputs &amp; Assumptions'!$B$5="Pilot",J17,N17)</f>
        <v>0</v>
      </c>
      <c r="Q17" s="5">
        <f>P17*'Inputs &amp; Assumptions'!$B$8</f>
        <v>0</v>
      </c>
      <c r="R17" s="4">
        <f>IF(P17&gt;0,ROUNDUP(P17/'Inputs &amp; Assumptions'!$B$9,0),0)</f>
        <v>0</v>
      </c>
      <c r="S17" s="5">
        <f>R17*'Inputs &amp; Assumptions'!$B$10</f>
        <v>0</v>
      </c>
      <c r="T17" s="2" t="str">
        <f t="shared" si="3"/>
        <v>No spend</v>
      </c>
      <c r="U17" s="2" t="str">
        <f>IF(Q17=0,"None",IF(Q17&gt;'Inputs &amp; Assumptions'!$B$11,"High",IF(Q17&gt;'Inputs &amp; Assumptions'!$B$11*'Inputs &amp; Assumptions'!$B$12,"Caution","Low")))</f>
        <v>None</v>
      </c>
      <c r="V17" s="2" t="str">
        <f>IF(C17&lt;&gt;"Yes","Not included",IF(D17="Internal Licensed Employees",IF(Q17&lt;=(L17*'Inputs &amp; Assumptions'!$B$6),"Compare to M365 Copilot; functionality may favor user licensing","Agent spend exceeds user-license equivalent"),IF(T17="PAYG","Good pilot/PAYG candidate","Consider cap via capacity packs")))</f>
        <v>Not included</v>
      </c>
      <c r="W17" s="17"/>
    </row>
    <row r="18" spans="1:23">
      <c r="A18" s="2"/>
      <c r="B18" s="2"/>
      <c r="C18" s="17"/>
      <c r="D18" s="17"/>
      <c r="E18" s="17"/>
      <c r="F18" s="17"/>
      <c r="G18" s="2">
        <f t="shared" si="0"/>
        <v>0</v>
      </c>
      <c r="H18" s="17"/>
      <c r="I18" s="17"/>
      <c r="J18" s="4">
        <f t="shared" si="1"/>
        <v>0</v>
      </c>
      <c r="K18" s="5">
        <f>J18*'Inputs &amp; Assumptions'!$B$8</f>
        <v>0</v>
      </c>
      <c r="L18" s="17"/>
      <c r="M18" s="17"/>
      <c r="N18" s="4">
        <f t="shared" si="2"/>
        <v>0</v>
      </c>
      <c r="O18" s="5">
        <f>N18*'Inputs &amp; Assumptions'!$B$8</f>
        <v>0</v>
      </c>
      <c r="P18" s="4">
        <f>IF('Inputs &amp; Assumptions'!$B$5="Pilot",J18,N18)</f>
        <v>0</v>
      </c>
      <c r="Q18" s="5">
        <f>P18*'Inputs &amp; Assumptions'!$B$8</f>
        <v>0</v>
      </c>
      <c r="R18" s="4">
        <f>IF(P18&gt;0,ROUNDUP(P18/'Inputs &amp; Assumptions'!$B$9,0),0)</f>
        <v>0</v>
      </c>
      <c r="S18" s="5">
        <f>R18*'Inputs &amp; Assumptions'!$B$10</f>
        <v>0</v>
      </c>
      <c r="T18" s="2" t="str">
        <f t="shared" si="3"/>
        <v>No spend</v>
      </c>
      <c r="U18" s="2" t="str">
        <f>IF(Q18=0,"None",IF(Q18&gt;'Inputs &amp; Assumptions'!$B$11,"High",IF(Q18&gt;'Inputs &amp; Assumptions'!$B$11*'Inputs &amp; Assumptions'!$B$12,"Caution","Low")))</f>
        <v>None</v>
      </c>
      <c r="V18" s="2" t="str">
        <f>IF(C18&lt;&gt;"Yes","Not included",IF(D18="Internal Licensed Employees",IF(Q18&lt;=(L18*'Inputs &amp; Assumptions'!$B$6),"Compare to M365 Copilot; functionality may favor user licensing","Agent spend exceeds user-license equivalent"),IF(T18="PAYG","Good pilot/PAYG candidate","Consider cap via capacity packs")))</f>
        <v>Not included</v>
      </c>
      <c r="W18" s="17"/>
    </row>
    <row r="19" spans="1:23">
      <c r="A19" s="2"/>
      <c r="B19" s="2"/>
      <c r="C19" s="17"/>
      <c r="D19" s="17"/>
      <c r="E19" s="17"/>
      <c r="F19" s="17"/>
      <c r="G19" s="2">
        <f t="shared" si="0"/>
        <v>0</v>
      </c>
      <c r="H19" s="17"/>
      <c r="I19" s="17"/>
      <c r="J19" s="4">
        <f t="shared" si="1"/>
        <v>0</v>
      </c>
      <c r="K19" s="5">
        <f>J19*'Inputs &amp; Assumptions'!$B$8</f>
        <v>0</v>
      </c>
      <c r="L19" s="17"/>
      <c r="M19" s="17"/>
      <c r="N19" s="4">
        <f t="shared" si="2"/>
        <v>0</v>
      </c>
      <c r="O19" s="5">
        <f>N19*'Inputs &amp; Assumptions'!$B$8</f>
        <v>0</v>
      </c>
      <c r="P19" s="4">
        <f>IF('Inputs &amp; Assumptions'!$B$5="Pilot",J19,N19)</f>
        <v>0</v>
      </c>
      <c r="Q19" s="5">
        <f>P19*'Inputs &amp; Assumptions'!$B$8</f>
        <v>0</v>
      </c>
      <c r="R19" s="4">
        <f>IF(P19&gt;0,ROUNDUP(P19/'Inputs &amp; Assumptions'!$B$9,0),0)</f>
        <v>0</v>
      </c>
      <c r="S19" s="5">
        <f>R19*'Inputs &amp; Assumptions'!$B$10</f>
        <v>0</v>
      </c>
      <c r="T19" s="2" t="str">
        <f t="shared" si="3"/>
        <v>No spend</v>
      </c>
      <c r="U19" s="2" t="str">
        <f>IF(Q19=0,"None",IF(Q19&gt;'Inputs &amp; Assumptions'!$B$11,"High",IF(Q19&gt;'Inputs &amp; Assumptions'!$B$11*'Inputs &amp; Assumptions'!$B$12,"Caution","Low")))</f>
        <v>None</v>
      </c>
      <c r="V19" s="2" t="str">
        <f>IF(C19&lt;&gt;"Yes","Not included",IF(D19="Internal Licensed Employees",IF(Q19&lt;=(L19*'Inputs &amp; Assumptions'!$B$6),"Compare to M365 Copilot; functionality may favor user licensing","Agent spend exceeds user-license equivalent"),IF(T19="PAYG","Good pilot/PAYG candidate","Consider cap via capacity packs")))</f>
        <v>Not included</v>
      </c>
      <c r="W19" s="17"/>
    </row>
    <row r="20" spans="1:23">
      <c r="A20" s="2"/>
      <c r="B20" s="2"/>
      <c r="C20" s="17"/>
      <c r="D20" s="17"/>
      <c r="E20" s="17"/>
      <c r="F20" s="17"/>
      <c r="G20" s="2">
        <f t="shared" si="0"/>
        <v>0</v>
      </c>
      <c r="H20" s="17"/>
      <c r="I20" s="17"/>
      <c r="J20" s="4">
        <f t="shared" si="1"/>
        <v>0</v>
      </c>
      <c r="K20" s="5">
        <f>J20*'Inputs &amp; Assumptions'!$B$8</f>
        <v>0</v>
      </c>
      <c r="L20" s="17"/>
      <c r="M20" s="17"/>
      <c r="N20" s="4">
        <f t="shared" si="2"/>
        <v>0</v>
      </c>
      <c r="O20" s="5">
        <f>N20*'Inputs &amp; Assumptions'!$B$8</f>
        <v>0</v>
      </c>
      <c r="P20" s="4">
        <f>IF('Inputs &amp; Assumptions'!$B$5="Pilot",J20,N20)</f>
        <v>0</v>
      </c>
      <c r="Q20" s="5">
        <f>P20*'Inputs &amp; Assumptions'!$B$8</f>
        <v>0</v>
      </c>
      <c r="R20" s="4">
        <f>IF(P20&gt;0,ROUNDUP(P20/'Inputs &amp; Assumptions'!$B$9,0),0)</f>
        <v>0</v>
      </c>
      <c r="S20" s="5">
        <f>R20*'Inputs &amp; Assumptions'!$B$10</f>
        <v>0</v>
      </c>
      <c r="T20" s="2" t="str">
        <f t="shared" si="3"/>
        <v>No spend</v>
      </c>
      <c r="U20" s="2" t="str">
        <f>IF(Q20=0,"None",IF(Q20&gt;'Inputs &amp; Assumptions'!$B$11,"High",IF(Q20&gt;'Inputs &amp; Assumptions'!$B$11*'Inputs &amp; Assumptions'!$B$12,"Caution","Low")))</f>
        <v>None</v>
      </c>
      <c r="V20" s="2" t="str">
        <f>IF(C20&lt;&gt;"Yes","Not included",IF(D20="Internal Licensed Employees",IF(Q20&lt;=(L20*'Inputs &amp; Assumptions'!$B$6),"Compare to M365 Copilot; functionality may favor user licensing","Agent spend exceeds user-license equivalent"),IF(T20="PAYG","Good pilot/PAYG candidate","Consider cap via capacity packs")))</f>
        <v>Not included</v>
      </c>
      <c r="W20" s="17"/>
    </row>
    <row r="21" spans="1:23">
      <c r="A21" s="2"/>
      <c r="B21" s="2"/>
      <c r="C21" s="17"/>
      <c r="D21" s="17"/>
      <c r="E21" s="17"/>
      <c r="F21" s="17"/>
      <c r="G21" s="2">
        <f t="shared" si="0"/>
        <v>0</v>
      </c>
      <c r="H21" s="17"/>
      <c r="I21" s="17"/>
      <c r="J21" s="4">
        <f t="shared" si="1"/>
        <v>0</v>
      </c>
      <c r="K21" s="5">
        <f>J21*'Inputs &amp; Assumptions'!$B$8</f>
        <v>0</v>
      </c>
      <c r="L21" s="17"/>
      <c r="M21" s="17"/>
      <c r="N21" s="4">
        <f t="shared" si="2"/>
        <v>0</v>
      </c>
      <c r="O21" s="5">
        <f>N21*'Inputs &amp; Assumptions'!$B$8</f>
        <v>0</v>
      </c>
      <c r="P21" s="4">
        <f>IF('Inputs &amp; Assumptions'!$B$5="Pilot",J21,N21)</f>
        <v>0</v>
      </c>
      <c r="Q21" s="5">
        <f>P21*'Inputs &amp; Assumptions'!$B$8</f>
        <v>0</v>
      </c>
      <c r="R21" s="4">
        <f>IF(P21&gt;0,ROUNDUP(P21/'Inputs &amp; Assumptions'!$B$9,0),0)</f>
        <v>0</v>
      </c>
      <c r="S21" s="5">
        <f>R21*'Inputs &amp; Assumptions'!$B$10</f>
        <v>0</v>
      </c>
      <c r="T21" s="2" t="str">
        <f t="shared" si="3"/>
        <v>No spend</v>
      </c>
      <c r="U21" s="2" t="str">
        <f>IF(Q21=0,"None",IF(Q21&gt;'Inputs &amp; Assumptions'!$B$11,"High",IF(Q21&gt;'Inputs &amp; Assumptions'!$B$11*'Inputs &amp; Assumptions'!$B$12,"Caution","Low")))</f>
        <v>None</v>
      </c>
      <c r="V21" s="2" t="str">
        <f>IF(C21&lt;&gt;"Yes","Not included",IF(D21="Internal Licensed Employees",IF(Q21&lt;=(L21*'Inputs &amp; Assumptions'!$B$6),"Compare to M365 Copilot; functionality may favor user licensing","Agent spend exceeds user-license equivalent"),IF(T21="PAYG","Good pilot/PAYG candidate","Consider cap via capacity packs")))</f>
        <v>Not included</v>
      </c>
      <c r="W21" s="17"/>
    </row>
    <row r="22" spans="1:23">
      <c r="A22" s="2"/>
      <c r="B22" s="2"/>
      <c r="C22" s="17"/>
      <c r="D22" s="17"/>
      <c r="E22" s="17"/>
      <c r="F22" s="17"/>
      <c r="G22" s="2">
        <f t="shared" si="0"/>
        <v>0</v>
      </c>
      <c r="H22" s="17"/>
      <c r="I22" s="17"/>
      <c r="J22" s="4">
        <f t="shared" si="1"/>
        <v>0</v>
      </c>
      <c r="K22" s="5">
        <f>J22*'Inputs &amp; Assumptions'!$B$8</f>
        <v>0</v>
      </c>
      <c r="L22" s="17"/>
      <c r="M22" s="17"/>
      <c r="N22" s="4">
        <f t="shared" si="2"/>
        <v>0</v>
      </c>
      <c r="O22" s="5">
        <f>N22*'Inputs &amp; Assumptions'!$B$8</f>
        <v>0</v>
      </c>
      <c r="P22" s="4">
        <f>IF('Inputs &amp; Assumptions'!$B$5="Pilot",J22,N22)</f>
        <v>0</v>
      </c>
      <c r="Q22" s="5">
        <f>P22*'Inputs &amp; Assumptions'!$B$8</f>
        <v>0</v>
      </c>
      <c r="R22" s="4">
        <f>IF(P22&gt;0,ROUNDUP(P22/'Inputs &amp; Assumptions'!$B$9,0),0)</f>
        <v>0</v>
      </c>
      <c r="S22" s="5">
        <f>R22*'Inputs &amp; Assumptions'!$B$10</f>
        <v>0</v>
      </c>
      <c r="T22" s="2" t="str">
        <f t="shared" si="3"/>
        <v>No spend</v>
      </c>
      <c r="U22" s="2" t="str">
        <f>IF(Q22=0,"None",IF(Q22&gt;'Inputs &amp; Assumptions'!$B$11,"High",IF(Q22&gt;'Inputs &amp; Assumptions'!$B$11*'Inputs &amp; Assumptions'!$B$12,"Caution","Low")))</f>
        <v>None</v>
      </c>
      <c r="V22" s="2" t="str">
        <f>IF(C22&lt;&gt;"Yes","Not included",IF(D22="Internal Licensed Employees",IF(Q22&lt;=(L22*'Inputs &amp; Assumptions'!$B$6),"Compare to M365 Copilot; functionality may favor user licensing","Agent spend exceeds user-license equivalent"),IF(T22="PAYG","Good pilot/PAYG candidate","Consider cap via capacity packs")))</f>
        <v>Not included</v>
      </c>
      <c r="W22" s="17"/>
    </row>
    <row r="23" spans="1:23">
      <c r="A23" s="2"/>
      <c r="B23" s="2"/>
      <c r="C23" s="17"/>
      <c r="D23" s="17"/>
      <c r="E23" s="17"/>
      <c r="F23" s="17"/>
      <c r="G23" s="2">
        <f t="shared" si="0"/>
        <v>0</v>
      </c>
      <c r="H23" s="17"/>
      <c r="I23" s="17"/>
      <c r="J23" s="4">
        <f t="shared" si="1"/>
        <v>0</v>
      </c>
      <c r="K23" s="5">
        <f>J23*'Inputs &amp; Assumptions'!$B$8</f>
        <v>0</v>
      </c>
      <c r="L23" s="17"/>
      <c r="M23" s="17"/>
      <c r="N23" s="4">
        <f t="shared" si="2"/>
        <v>0</v>
      </c>
      <c r="O23" s="5">
        <f>N23*'Inputs &amp; Assumptions'!$B$8</f>
        <v>0</v>
      </c>
      <c r="P23" s="4">
        <f>IF('Inputs &amp; Assumptions'!$B$5="Pilot",J23,N23)</f>
        <v>0</v>
      </c>
      <c r="Q23" s="5">
        <f>P23*'Inputs &amp; Assumptions'!$B$8</f>
        <v>0</v>
      </c>
      <c r="R23" s="4">
        <f>IF(P23&gt;0,ROUNDUP(P23/'Inputs &amp; Assumptions'!$B$9,0),0)</f>
        <v>0</v>
      </c>
      <c r="S23" s="5">
        <f>R23*'Inputs &amp; Assumptions'!$B$10</f>
        <v>0</v>
      </c>
      <c r="T23" s="2" t="str">
        <f t="shared" si="3"/>
        <v>No spend</v>
      </c>
      <c r="U23" s="2" t="str">
        <f>IF(Q23=0,"None",IF(Q23&gt;'Inputs &amp; Assumptions'!$B$11,"High",IF(Q23&gt;'Inputs &amp; Assumptions'!$B$11*'Inputs &amp; Assumptions'!$B$12,"Caution","Low")))</f>
        <v>None</v>
      </c>
      <c r="V23" s="2" t="str">
        <f>IF(C23&lt;&gt;"Yes","Not included",IF(D23="Internal Licensed Employees",IF(Q23&lt;=(L23*'Inputs &amp; Assumptions'!$B$6),"Compare to M365 Copilot; functionality may favor user licensing","Agent spend exceeds user-license equivalent"),IF(T23="PAYG","Good pilot/PAYG candidate","Consider cap via capacity packs")))</f>
        <v>Not included</v>
      </c>
      <c r="W23" s="17"/>
    </row>
    <row r="24" spans="1:23">
      <c r="A24" s="2"/>
      <c r="B24" s="2"/>
      <c r="C24" s="17"/>
      <c r="D24" s="17"/>
      <c r="E24" s="17"/>
      <c r="F24" s="17"/>
      <c r="G24" s="2">
        <f t="shared" si="0"/>
        <v>0</v>
      </c>
      <c r="H24" s="17"/>
      <c r="I24" s="17"/>
      <c r="J24" s="4">
        <f t="shared" si="1"/>
        <v>0</v>
      </c>
      <c r="K24" s="5">
        <f>J24*'Inputs &amp; Assumptions'!$B$8</f>
        <v>0</v>
      </c>
      <c r="L24" s="17"/>
      <c r="M24" s="17"/>
      <c r="N24" s="4">
        <f t="shared" si="2"/>
        <v>0</v>
      </c>
      <c r="O24" s="5">
        <f>N24*'Inputs &amp; Assumptions'!$B$8</f>
        <v>0</v>
      </c>
      <c r="P24" s="4">
        <f>IF('Inputs &amp; Assumptions'!$B$5="Pilot",J24,N24)</f>
        <v>0</v>
      </c>
      <c r="Q24" s="5">
        <f>P24*'Inputs &amp; Assumptions'!$B$8</f>
        <v>0</v>
      </c>
      <c r="R24" s="4">
        <f>IF(P24&gt;0,ROUNDUP(P24/'Inputs &amp; Assumptions'!$B$9,0),0)</f>
        <v>0</v>
      </c>
      <c r="S24" s="5">
        <f>R24*'Inputs &amp; Assumptions'!$B$10</f>
        <v>0</v>
      </c>
      <c r="T24" s="2" t="str">
        <f t="shared" si="3"/>
        <v>No spend</v>
      </c>
      <c r="U24" s="2" t="str">
        <f>IF(Q24=0,"None",IF(Q24&gt;'Inputs &amp; Assumptions'!$B$11,"High",IF(Q24&gt;'Inputs &amp; Assumptions'!$B$11*'Inputs &amp; Assumptions'!$B$12,"Caution","Low")))</f>
        <v>None</v>
      </c>
      <c r="V24" s="2" t="str">
        <f>IF(C24&lt;&gt;"Yes","Not included",IF(D24="Internal Licensed Employees",IF(Q24&lt;=(L24*'Inputs &amp; Assumptions'!$B$6),"Compare to M365 Copilot; functionality may favor user licensing","Agent spend exceeds user-license equivalent"),IF(T24="PAYG","Good pilot/PAYG candidate","Consider cap via capacity packs")))</f>
        <v>Not included</v>
      </c>
      <c r="W24" s="17"/>
    </row>
    <row r="25" spans="1:23">
      <c r="A25" s="2"/>
      <c r="B25" s="2"/>
      <c r="C25" s="17"/>
      <c r="D25" s="17"/>
      <c r="E25" s="17"/>
      <c r="F25" s="17"/>
      <c r="G25" s="2">
        <f t="shared" si="0"/>
        <v>0</v>
      </c>
      <c r="H25" s="17"/>
      <c r="I25" s="17"/>
      <c r="J25" s="4">
        <f t="shared" si="1"/>
        <v>0</v>
      </c>
      <c r="K25" s="5">
        <f>J25*'Inputs &amp; Assumptions'!$B$8</f>
        <v>0</v>
      </c>
      <c r="L25" s="17"/>
      <c r="M25" s="17"/>
      <c r="N25" s="4">
        <f t="shared" si="2"/>
        <v>0</v>
      </c>
      <c r="O25" s="5">
        <f>N25*'Inputs &amp; Assumptions'!$B$8</f>
        <v>0</v>
      </c>
      <c r="P25" s="4">
        <f>IF('Inputs &amp; Assumptions'!$B$5="Pilot",J25,N25)</f>
        <v>0</v>
      </c>
      <c r="Q25" s="5">
        <f>P25*'Inputs &amp; Assumptions'!$B$8</f>
        <v>0</v>
      </c>
      <c r="R25" s="4">
        <f>IF(P25&gt;0,ROUNDUP(P25/'Inputs &amp; Assumptions'!$B$9,0),0)</f>
        <v>0</v>
      </c>
      <c r="S25" s="5">
        <f>R25*'Inputs &amp; Assumptions'!$B$10</f>
        <v>0</v>
      </c>
      <c r="T25" s="2" t="str">
        <f t="shared" si="3"/>
        <v>No spend</v>
      </c>
      <c r="U25" s="2" t="str">
        <f>IF(Q25=0,"None",IF(Q25&gt;'Inputs &amp; Assumptions'!$B$11,"High",IF(Q25&gt;'Inputs &amp; Assumptions'!$B$11*'Inputs &amp; Assumptions'!$B$12,"Caution","Low")))</f>
        <v>None</v>
      </c>
      <c r="V25" s="2" t="str">
        <f>IF(C25&lt;&gt;"Yes","Not included",IF(D25="Internal Licensed Employees",IF(Q25&lt;=(L25*'Inputs &amp; Assumptions'!$B$6),"Compare to M365 Copilot; functionality may favor user licensing","Agent spend exceeds user-license equivalent"),IF(T25="PAYG","Good pilot/PAYG candidate","Consider cap via capacity packs")))</f>
        <v>Not included</v>
      </c>
      <c r="W25" s="17"/>
    </row>
    <row r="26" spans="1:23">
      <c r="A26" s="2"/>
      <c r="B26" s="2"/>
      <c r="C26" s="17"/>
      <c r="D26" s="17"/>
      <c r="E26" s="17"/>
      <c r="F26" s="17"/>
      <c r="G26" s="2">
        <f t="shared" si="0"/>
        <v>0</v>
      </c>
      <c r="H26" s="17"/>
      <c r="I26" s="17"/>
      <c r="J26" s="4">
        <f t="shared" si="1"/>
        <v>0</v>
      </c>
      <c r="K26" s="5">
        <f>J26*'Inputs &amp; Assumptions'!$B$8</f>
        <v>0</v>
      </c>
      <c r="L26" s="17"/>
      <c r="M26" s="17"/>
      <c r="N26" s="4">
        <f t="shared" si="2"/>
        <v>0</v>
      </c>
      <c r="O26" s="5">
        <f>N26*'Inputs &amp; Assumptions'!$B$8</f>
        <v>0</v>
      </c>
      <c r="P26" s="4">
        <f>IF('Inputs &amp; Assumptions'!$B$5="Pilot",J26,N26)</f>
        <v>0</v>
      </c>
      <c r="Q26" s="5">
        <f>P26*'Inputs &amp; Assumptions'!$B$8</f>
        <v>0</v>
      </c>
      <c r="R26" s="4">
        <f>IF(P26&gt;0,ROUNDUP(P26/'Inputs &amp; Assumptions'!$B$9,0),0)</f>
        <v>0</v>
      </c>
      <c r="S26" s="5">
        <f>R26*'Inputs &amp; Assumptions'!$B$10</f>
        <v>0</v>
      </c>
      <c r="T26" s="2" t="str">
        <f t="shared" si="3"/>
        <v>No spend</v>
      </c>
      <c r="U26" s="2" t="str">
        <f>IF(Q26=0,"None",IF(Q26&gt;'Inputs &amp; Assumptions'!$B$11,"High",IF(Q26&gt;'Inputs &amp; Assumptions'!$B$11*'Inputs &amp; Assumptions'!$B$12,"Caution","Low")))</f>
        <v>None</v>
      </c>
      <c r="V26" s="2" t="str">
        <f>IF(C26&lt;&gt;"Yes","Not included",IF(D26="Internal Licensed Employees",IF(Q26&lt;=(L26*'Inputs &amp; Assumptions'!$B$6),"Compare to M365 Copilot; functionality may favor user licensing","Agent spend exceeds user-license equivalent"),IF(T26="PAYG","Good pilot/PAYG candidate","Consider cap via capacity packs")))</f>
        <v>Not included</v>
      </c>
      <c r="W26" s="17"/>
    </row>
    <row r="27" spans="1:23">
      <c r="A27" s="2"/>
      <c r="B27" s="2"/>
      <c r="C27" s="17"/>
      <c r="D27" s="17"/>
      <c r="E27" s="17"/>
      <c r="F27" s="17"/>
      <c r="G27" s="2">
        <f t="shared" si="0"/>
        <v>0</v>
      </c>
      <c r="H27" s="17"/>
      <c r="I27" s="17"/>
      <c r="J27" s="4">
        <f t="shared" si="1"/>
        <v>0</v>
      </c>
      <c r="K27" s="5">
        <f>J27*'Inputs &amp; Assumptions'!$B$8</f>
        <v>0</v>
      </c>
      <c r="L27" s="17"/>
      <c r="M27" s="17"/>
      <c r="N27" s="4">
        <f t="shared" si="2"/>
        <v>0</v>
      </c>
      <c r="O27" s="5">
        <f>N27*'Inputs &amp; Assumptions'!$B$8</f>
        <v>0</v>
      </c>
      <c r="P27" s="4">
        <f>IF('Inputs &amp; Assumptions'!$B$5="Pilot",J27,N27)</f>
        <v>0</v>
      </c>
      <c r="Q27" s="5">
        <f>P27*'Inputs &amp; Assumptions'!$B$8</f>
        <v>0</v>
      </c>
      <c r="R27" s="4">
        <f>IF(P27&gt;0,ROUNDUP(P27/'Inputs &amp; Assumptions'!$B$9,0),0)</f>
        <v>0</v>
      </c>
      <c r="S27" s="5">
        <f>R27*'Inputs &amp; Assumptions'!$B$10</f>
        <v>0</v>
      </c>
      <c r="T27" s="2" t="str">
        <f t="shared" si="3"/>
        <v>No spend</v>
      </c>
      <c r="U27" s="2" t="str">
        <f>IF(Q27=0,"None",IF(Q27&gt;'Inputs &amp; Assumptions'!$B$11,"High",IF(Q27&gt;'Inputs &amp; Assumptions'!$B$11*'Inputs &amp; Assumptions'!$B$12,"Caution","Low")))</f>
        <v>None</v>
      </c>
      <c r="V27" s="2" t="str">
        <f>IF(C27&lt;&gt;"Yes","Not included",IF(D27="Internal Licensed Employees",IF(Q27&lt;=(L27*'Inputs &amp; Assumptions'!$B$6),"Compare to M365 Copilot; functionality may favor user licensing","Agent spend exceeds user-license equivalent"),IF(T27="PAYG","Good pilot/PAYG candidate","Consider cap via capacity packs")))</f>
        <v>Not included</v>
      </c>
      <c r="W27" s="17"/>
    </row>
    <row r="28" spans="1:23">
      <c r="A28" s="2"/>
      <c r="B28" s="2"/>
      <c r="C28" s="17"/>
      <c r="D28" s="17"/>
      <c r="E28" s="17"/>
      <c r="F28" s="17"/>
      <c r="G28" s="2">
        <f t="shared" si="0"/>
        <v>0</v>
      </c>
      <c r="H28" s="17"/>
      <c r="I28" s="17"/>
      <c r="J28" s="4">
        <f t="shared" si="1"/>
        <v>0</v>
      </c>
      <c r="K28" s="5">
        <f>J28*'Inputs &amp; Assumptions'!$B$8</f>
        <v>0</v>
      </c>
      <c r="L28" s="17"/>
      <c r="M28" s="17"/>
      <c r="N28" s="4">
        <f t="shared" si="2"/>
        <v>0</v>
      </c>
      <c r="O28" s="5">
        <f>N28*'Inputs &amp; Assumptions'!$B$8</f>
        <v>0</v>
      </c>
      <c r="P28" s="4">
        <f>IF('Inputs &amp; Assumptions'!$B$5="Pilot",J28,N28)</f>
        <v>0</v>
      </c>
      <c r="Q28" s="5">
        <f>P28*'Inputs &amp; Assumptions'!$B$8</f>
        <v>0</v>
      </c>
      <c r="R28" s="4">
        <f>IF(P28&gt;0,ROUNDUP(P28/'Inputs &amp; Assumptions'!$B$9,0),0)</f>
        <v>0</v>
      </c>
      <c r="S28" s="5">
        <f>R28*'Inputs &amp; Assumptions'!$B$10</f>
        <v>0</v>
      </c>
      <c r="T28" s="2" t="str">
        <f t="shared" si="3"/>
        <v>No spend</v>
      </c>
      <c r="U28" s="2" t="str">
        <f>IF(Q28=0,"None",IF(Q28&gt;'Inputs &amp; Assumptions'!$B$11,"High",IF(Q28&gt;'Inputs &amp; Assumptions'!$B$11*'Inputs &amp; Assumptions'!$B$12,"Caution","Low")))</f>
        <v>None</v>
      </c>
      <c r="V28" s="2" t="str">
        <f>IF(C28&lt;&gt;"Yes","Not included",IF(D28="Internal Licensed Employees",IF(Q28&lt;=(L28*'Inputs &amp; Assumptions'!$B$6),"Compare to M365 Copilot; functionality may favor user licensing","Agent spend exceeds user-license equivalent"),IF(T28="PAYG","Good pilot/PAYG candidate","Consider cap via capacity packs")))</f>
        <v>Not included</v>
      </c>
      <c r="W28" s="17"/>
    </row>
    <row r="29" spans="1:23">
      <c r="A29" s="2"/>
      <c r="B29" s="2"/>
      <c r="C29" s="17"/>
      <c r="D29" s="17"/>
      <c r="E29" s="17"/>
      <c r="F29" s="17"/>
      <c r="G29" s="2">
        <f t="shared" si="0"/>
        <v>0</v>
      </c>
      <c r="H29" s="17"/>
      <c r="I29" s="17"/>
      <c r="J29" s="4">
        <f t="shared" si="1"/>
        <v>0</v>
      </c>
      <c r="K29" s="5">
        <f>J29*'Inputs &amp; Assumptions'!$B$8</f>
        <v>0</v>
      </c>
      <c r="L29" s="17"/>
      <c r="M29" s="17"/>
      <c r="N29" s="4">
        <f t="shared" si="2"/>
        <v>0</v>
      </c>
      <c r="O29" s="5">
        <f>N29*'Inputs &amp; Assumptions'!$B$8</f>
        <v>0</v>
      </c>
      <c r="P29" s="4">
        <f>IF('Inputs &amp; Assumptions'!$B$5="Pilot",J29,N29)</f>
        <v>0</v>
      </c>
      <c r="Q29" s="5">
        <f>P29*'Inputs &amp; Assumptions'!$B$8</f>
        <v>0</v>
      </c>
      <c r="R29" s="4">
        <f>IF(P29&gt;0,ROUNDUP(P29/'Inputs &amp; Assumptions'!$B$9,0),0)</f>
        <v>0</v>
      </c>
      <c r="S29" s="5">
        <f>R29*'Inputs &amp; Assumptions'!$B$10</f>
        <v>0</v>
      </c>
      <c r="T29" s="2" t="str">
        <f t="shared" si="3"/>
        <v>No spend</v>
      </c>
      <c r="U29" s="2" t="str">
        <f>IF(Q29=0,"None",IF(Q29&gt;'Inputs &amp; Assumptions'!$B$11,"High",IF(Q29&gt;'Inputs &amp; Assumptions'!$B$11*'Inputs &amp; Assumptions'!$B$12,"Caution","Low")))</f>
        <v>None</v>
      </c>
      <c r="V29" s="2" t="str">
        <f>IF(C29&lt;&gt;"Yes","Not included",IF(D29="Internal Licensed Employees",IF(Q29&lt;=(L29*'Inputs &amp; Assumptions'!$B$6),"Compare to M365 Copilot; functionality may favor user licensing","Agent spend exceeds user-license equivalent"),IF(T29="PAYG","Good pilot/PAYG candidate","Consider cap via capacity packs")))</f>
        <v>Not included</v>
      </c>
      <c r="W29" s="17"/>
    </row>
    <row r="30" spans="1:23">
      <c r="A30" s="2"/>
      <c r="B30" s="2"/>
      <c r="C30" s="17"/>
      <c r="D30" s="17"/>
      <c r="E30" s="17"/>
      <c r="F30" s="17"/>
      <c r="G30" s="2">
        <f t="shared" si="0"/>
        <v>0</v>
      </c>
      <c r="H30" s="17"/>
      <c r="I30" s="17"/>
      <c r="J30" s="4">
        <f t="shared" si="1"/>
        <v>0</v>
      </c>
      <c r="K30" s="5">
        <f>J30*'Inputs &amp; Assumptions'!$B$8</f>
        <v>0</v>
      </c>
      <c r="L30" s="17"/>
      <c r="M30" s="17"/>
      <c r="N30" s="4">
        <f t="shared" si="2"/>
        <v>0</v>
      </c>
      <c r="O30" s="5">
        <f>N30*'Inputs &amp; Assumptions'!$B$8</f>
        <v>0</v>
      </c>
      <c r="P30" s="4">
        <f>IF('Inputs &amp; Assumptions'!$B$5="Pilot",J30,N30)</f>
        <v>0</v>
      </c>
      <c r="Q30" s="5">
        <f>P30*'Inputs &amp; Assumptions'!$B$8</f>
        <v>0</v>
      </c>
      <c r="R30" s="4">
        <f>IF(P30&gt;0,ROUNDUP(P30/'Inputs &amp; Assumptions'!$B$9,0),0)</f>
        <v>0</v>
      </c>
      <c r="S30" s="5">
        <f>R30*'Inputs &amp; Assumptions'!$B$10</f>
        <v>0</v>
      </c>
      <c r="T30" s="2" t="str">
        <f t="shared" si="3"/>
        <v>No spend</v>
      </c>
      <c r="U30" s="2" t="str">
        <f>IF(Q30=0,"None",IF(Q30&gt;'Inputs &amp; Assumptions'!$B$11,"High",IF(Q30&gt;'Inputs &amp; Assumptions'!$B$11*'Inputs &amp; Assumptions'!$B$12,"Caution","Low")))</f>
        <v>None</v>
      </c>
      <c r="V30" s="2" t="str">
        <f>IF(C30&lt;&gt;"Yes","Not included",IF(D30="Internal Licensed Employees",IF(Q30&lt;=(L30*'Inputs &amp; Assumptions'!$B$6),"Compare to M365 Copilot; functionality may favor user licensing","Agent spend exceeds user-license equivalent"),IF(T30="PAYG","Good pilot/PAYG candidate","Consider cap via capacity packs")))</f>
        <v>Not included</v>
      </c>
      <c r="W30" s="17"/>
    </row>
    <row r="31" spans="1:23">
      <c r="A31" s="2"/>
      <c r="B31" s="2"/>
      <c r="C31" s="17"/>
      <c r="D31" s="17"/>
      <c r="E31" s="17"/>
      <c r="F31" s="17"/>
      <c r="G31" s="2">
        <f t="shared" si="0"/>
        <v>0</v>
      </c>
      <c r="H31" s="17"/>
      <c r="I31" s="17"/>
      <c r="J31" s="4">
        <f t="shared" si="1"/>
        <v>0</v>
      </c>
      <c r="K31" s="5">
        <f>J31*'Inputs &amp; Assumptions'!$B$8</f>
        <v>0</v>
      </c>
      <c r="L31" s="17"/>
      <c r="M31" s="17"/>
      <c r="N31" s="4">
        <f t="shared" si="2"/>
        <v>0</v>
      </c>
      <c r="O31" s="5">
        <f>N31*'Inputs &amp; Assumptions'!$B$8</f>
        <v>0</v>
      </c>
      <c r="P31" s="4">
        <f>IF('Inputs &amp; Assumptions'!$B$5="Pilot",J31,N31)</f>
        <v>0</v>
      </c>
      <c r="Q31" s="5">
        <f>P31*'Inputs &amp; Assumptions'!$B$8</f>
        <v>0</v>
      </c>
      <c r="R31" s="4">
        <f>IF(P31&gt;0,ROUNDUP(P31/'Inputs &amp; Assumptions'!$B$9,0),0)</f>
        <v>0</v>
      </c>
      <c r="S31" s="5">
        <f>R31*'Inputs &amp; Assumptions'!$B$10</f>
        <v>0</v>
      </c>
      <c r="T31" s="2" t="str">
        <f t="shared" si="3"/>
        <v>No spend</v>
      </c>
      <c r="U31" s="2" t="str">
        <f>IF(Q31=0,"None",IF(Q31&gt;'Inputs &amp; Assumptions'!$B$11,"High",IF(Q31&gt;'Inputs &amp; Assumptions'!$B$11*'Inputs &amp; Assumptions'!$B$12,"Caution","Low")))</f>
        <v>None</v>
      </c>
      <c r="V31" s="2" t="str">
        <f>IF(C31&lt;&gt;"Yes","Not included",IF(D31="Internal Licensed Employees",IF(Q31&lt;=(L31*'Inputs &amp; Assumptions'!$B$6),"Compare to M365 Copilot; functionality may favor user licensing","Agent spend exceeds user-license equivalent"),IF(T31="PAYG","Good pilot/PAYG candidate","Consider cap via capacity packs")))</f>
        <v>Not included</v>
      </c>
      <c r="W31" s="17"/>
    </row>
    <row r="32" spans="1:23">
      <c r="A32" s="2"/>
      <c r="B32" s="2"/>
      <c r="C32" s="17"/>
      <c r="D32" s="17"/>
      <c r="E32" s="17"/>
      <c r="F32" s="17"/>
      <c r="G32" s="2">
        <f t="shared" si="0"/>
        <v>0</v>
      </c>
      <c r="H32" s="17"/>
      <c r="I32" s="17"/>
      <c r="J32" s="4">
        <f t="shared" si="1"/>
        <v>0</v>
      </c>
      <c r="K32" s="5">
        <f>J32*'Inputs &amp; Assumptions'!$B$8</f>
        <v>0</v>
      </c>
      <c r="L32" s="17"/>
      <c r="M32" s="17"/>
      <c r="N32" s="4">
        <f t="shared" si="2"/>
        <v>0</v>
      </c>
      <c r="O32" s="5">
        <f>N32*'Inputs &amp; Assumptions'!$B$8</f>
        <v>0</v>
      </c>
      <c r="P32" s="4">
        <f>IF('Inputs &amp; Assumptions'!$B$5="Pilot",J32,N32)</f>
        <v>0</v>
      </c>
      <c r="Q32" s="5">
        <f>P32*'Inputs &amp; Assumptions'!$B$8</f>
        <v>0</v>
      </c>
      <c r="R32" s="4">
        <f>IF(P32&gt;0,ROUNDUP(P32/'Inputs &amp; Assumptions'!$B$9,0),0)</f>
        <v>0</v>
      </c>
      <c r="S32" s="5">
        <f>R32*'Inputs &amp; Assumptions'!$B$10</f>
        <v>0</v>
      </c>
      <c r="T32" s="2" t="str">
        <f t="shared" si="3"/>
        <v>No spend</v>
      </c>
      <c r="U32" s="2" t="str">
        <f>IF(Q32=0,"None",IF(Q32&gt;'Inputs &amp; Assumptions'!$B$11,"High",IF(Q32&gt;'Inputs &amp; Assumptions'!$B$11*'Inputs &amp; Assumptions'!$B$12,"Caution","Low")))</f>
        <v>None</v>
      </c>
      <c r="V32" s="2" t="str">
        <f>IF(C32&lt;&gt;"Yes","Not included",IF(D32="Internal Licensed Employees",IF(Q32&lt;=(L32*'Inputs &amp; Assumptions'!$B$6),"Compare to M365 Copilot; functionality may favor user licensing","Agent spend exceeds user-license equivalent"),IF(T32="PAYG","Good pilot/PAYG candidate","Consider cap via capacity packs")))</f>
        <v>Not included</v>
      </c>
      <c r="W32" s="17"/>
    </row>
    <row r="33" spans="1:23">
      <c r="A33" s="2"/>
      <c r="B33" s="2"/>
      <c r="C33" s="17"/>
      <c r="D33" s="17"/>
      <c r="E33" s="17"/>
      <c r="F33" s="17"/>
      <c r="G33" s="2">
        <f t="shared" si="0"/>
        <v>0</v>
      </c>
      <c r="H33" s="17"/>
      <c r="I33" s="17"/>
      <c r="J33" s="4">
        <f t="shared" si="1"/>
        <v>0</v>
      </c>
      <c r="K33" s="5">
        <f>J33*'Inputs &amp; Assumptions'!$B$8</f>
        <v>0</v>
      </c>
      <c r="L33" s="17"/>
      <c r="M33" s="17"/>
      <c r="N33" s="4">
        <f t="shared" si="2"/>
        <v>0</v>
      </c>
      <c r="O33" s="5">
        <f>N33*'Inputs &amp; Assumptions'!$B$8</f>
        <v>0</v>
      </c>
      <c r="P33" s="4">
        <f>IF('Inputs &amp; Assumptions'!$B$5="Pilot",J33,N33)</f>
        <v>0</v>
      </c>
      <c r="Q33" s="5">
        <f>P33*'Inputs &amp; Assumptions'!$B$8</f>
        <v>0</v>
      </c>
      <c r="R33" s="4">
        <f>IF(P33&gt;0,ROUNDUP(P33/'Inputs &amp; Assumptions'!$B$9,0),0)</f>
        <v>0</v>
      </c>
      <c r="S33" s="5">
        <f>R33*'Inputs &amp; Assumptions'!$B$10</f>
        <v>0</v>
      </c>
      <c r="T33" s="2" t="str">
        <f t="shared" si="3"/>
        <v>No spend</v>
      </c>
      <c r="U33" s="2" t="str">
        <f>IF(Q33=0,"None",IF(Q33&gt;'Inputs &amp; Assumptions'!$B$11,"High",IF(Q33&gt;'Inputs &amp; Assumptions'!$B$11*'Inputs &amp; Assumptions'!$B$12,"Caution","Low")))</f>
        <v>None</v>
      </c>
      <c r="V33" s="2" t="str">
        <f>IF(C33&lt;&gt;"Yes","Not included",IF(D33="Internal Licensed Employees",IF(Q33&lt;=(L33*'Inputs &amp; Assumptions'!$B$6),"Compare to M365 Copilot; functionality may favor user licensing","Agent spend exceeds user-license equivalent"),IF(T33="PAYG","Good pilot/PAYG candidate","Consider cap via capacity packs")))</f>
        <v>Not included</v>
      </c>
      <c r="W33" s="17"/>
    </row>
    <row r="34" spans="1:23">
      <c r="A34" s="2"/>
      <c r="B34" s="2"/>
      <c r="C34" s="17"/>
      <c r="D34" s="17"/>
      <c r="E34" s="17"/>
      <c r="F34" s="17"/>
      <c r="G34" s="2">
        <f t="shared" si="0"/>
        <v>0</v>
      </c>
      <c r="H34" s="17"/>
      <c r="I34" s="17"/>
      <c r="J34" s="4">
        <f t="shared" si="1"/>
        <v>0</v>
      </c>
      <c r="K34" s="5">
        <f>J34*'Inputs &amp; Assumptions'!$B$8</f>
        <v>0</v>
      </c>
      <c r="L34" s="17"/>
      <c r="M34" s="17"/>
      <c r="N34" s="4">
        <f t="shared" si="2"/>
        <v>0</v>
      </c>
      <c r="O34" s="5">
        <f>N34*'Inputs &amp; Assumptions'!$B$8</f>
        <v>0</v>
      </c>
      <c r="P34" s="4">
        <f>IF('Inputs &amp; Assumptions'!$B$5="Pilot",J34,N34)</f>
        <v>0</v>
      </c>
      <c r="Q34" s="5">
        <f>P34*'Inputs &amp; Assumptions'!$B$8</f>
        <v>0</v>
      </c>
      <c r="R34" s="4">
        <f>IF(P34&gt;0,ROUNDUP(P34/'Inputs &amp; Assumptions'!$B$9,0),0)</f>
        <v>0</v>
      </c>
      <c r="S34" s="5">
        <f>R34*'Inputs &amp; Assumptions'!$B$10</f>
        <v>0</v>
      </c>
      <c r="T34" s="2" t="str">
        <f t="shared" si="3"/>
        <v>No spend</v>
      </c>
      <c r="U34" s="2" t="str">
        <f>IF(Q34=0,"None",IF(Q34&gt;'Inputs &amp; Assumptions'!$B$11,"High",IF(Q34&gt;'Inputs &amp; Assumptions'!$B$11*'Inputs &amp; Assumptions'!$B$12,"Caution","Low")))</f>
        <v>None</v>
      </c>
      <c r="V34" s="2" t="str">
        <f>IF(C34&lt;&gt;"Yes","Not included",IF(D34="Internal Licensed Employees",IF(Q34&lt;=(L34*'Inputs &amp; Assumptions'!$B$6),"Compare to M365 Copilot; functionality may favor user licensing","Agent spend exceeds user-license equivalent"),IF(T34="PAYG","Good pilot/PAYG candidate","Consider cap via capacity packs")))</f>
        <v>Not included</v>
      </c>
      <c r="W34" s="17"/>
    </row>
  </sheetData>
  <mergeCells count="2">
    <mergeCell ref="A2:H2"/>
    <mergeCell ref="A1:H1"/>
  </mergeCells>
  <conditionalFormatting sqref="U5:U34">
    <cfRule type="expression" dxfId="5" priority="1">
      <formula>U5="High"</formula>
    </cfRule>
    <cfRule type="expression" dxfId="4" priority="2">
      <formula>U5="Caution"</formula>
    </cfRule>
    <cfRule type="expression" dxfId="3" priority="3">
      <formula>U5="Low"</formula>
    </cfRule>
  </conditionalFormatting>
  <dataValidations count="3">
    <dataValidation type="list" sqref="C5:C34" xr:uid="{00000000-0002-0000-0300-000000000000}">
      <formula1>"Yes,No"</formula1>
    </dataValidation>
    <dataValidation type="list" sqref="D5:D34" xr:uid="{00000000-0002-0000-0300-000001000000}">
      <formula1>"Internal Licensed Employees,Internal Unlicensed,External Residents/Public,Internal Mixed,Mixed"</formula1>
    </dataValidation>
    <dataValidation type="list" sqref="E5:E34" xr:uid="{00000000-0002-0000-0300-000002000000}">
      <formula1>"Low,Medium,High,Custom"</formula1>
    </dataValidation>
  </dataValidations>
  <pageMargins left="0.75" right="0.75" top="1" bottom="1" header="0.5" footer="0.5"/>
  <pageSetup fitToHeight="0"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0"/>
  <sheetViews>
    <sheetView showGridLines="0" workbookViewId="0">
      <pane ySplit="3" topLeftCell="A4" activePane="bottomLeft" state="frozen"/>
      <selection pane="bottomLeft" sqref="A1:H1"/>
    </sheetView>
  </sheetViews>
  <sheetFormatPr defaultRowHeight="15"/>
  <cols>
    <col min="1" max="1" width="50" customWidth="1"/>
    <col min="2" max="2" width="35" customWidth="1"/>
    <col min="3" max="3" width="50" customWidth="1"/>
    <col min="4" max="4" width="36" customWidth="1"/>
    <col min="5" max="5" width="50" customWidth="1"/>
    <col min="6" max="6" width="27" customWidth="1"/>
    <col min="7" max="7" width="50" customWidth="1"/>
    <col min="8" max="8" width="3" customWidth="1"/>
  </cols>
  <sheetData>
    <row r="1" spans="1:8" ht="23.25">
      <c r="A1" s="69" t="s">
        <v>177</v>
      </c>
      <c r="B1" s="70"/>
      <c r="C1" s="70"/>
      <c r="D1" s="70"/>
      <c r="E1" s="70"/>
      <c r="F1" s="70"/>
      <c r="G1" s="70"/>
      <c r="H1" s="70"/>
    </row>
    <row r="2" spans="1:8">
      <c r="A2" s="71" t="s">
        <v>178</v>
      </c>
      <c r="B2" s="70"/>
      <c r="C2" s="70"/>
      <c r="D2" s="70"/>
      <c r="E2" s="70"/>
      <c r="F2" s="70"/>
      <c r="G2" s="70"/>
      <c r="H2" s="70"/>
    </row>
    <row r="4" spans="1:8">
      <c r="A4" s="1" t="s">
        <v>179</v>
      </c>
      <c r="B4" s="1" t="s">
        <v>180</v>
      </c>
      <c r="C4" s="1" t="s">
        <v>151</v>
      </c>
      <c r="D4" s="1" t="s">
        <v>152</v>
      </c>
      <c r="E4" s="1" t="s">
        <v>181</v>
      </c>
      <c r="F4" s="1" t="s">
        <v>182</v>
      </c>
      <c r="G4" s="1" t="s">
        <v>183</v>
      </c>
    </row>
    <row r="5" spans="1:8">
      <c r="A5" s="2">
        <v>0</v>
      </c>
      <c r="B5" s="5">
        <f>A5*'Inputs &amp; Assumptions'!$B$8</f>
        <v>0</v>
      </c>
      <c r="C5" s="2">
        <f>IF(A5&gt;0,ROUNDUP(A5/'Inputs &amp; Assumptions'!$B$9,0),0)</f>
        <v>0</v>
      </c>
      <c r="D5" s="5">
        <f>C5*'Inputs &amp; Assumptions'!$B$10</f>
        <v>0</v>
      </c>
      <c r="E5" s="2" t="str">
        <f t="shared" ref="E5:E20" si="0">IF(A5=0,"No spend",IF(B5&lt;=D5,"PAYG","Capacity Packs"))</f>
        <v>No spend</v>
      </c>
      <c r="F5" s="5">
        <f t="shared" ref="F5:F20" si="1">ABS(B5-D5)</f>
        <v>0</v>
      </c>
      <c r="G5" s="2" t="str">
        <f t="shared" ref="G5:G20" si="2">IF(E5="PAYG","PAYG avoids unused pack waste.",IF(E5="Capacity Packs","Packs lower unit cost when utilization is high.","No usage."))</f>
        <v>No usage.</v>
      </c>
    </row>
    <row r="6" spans="1:8">
      <c r="A6" s="2">
        <v>5000</v>
      </c>
      <c r="B6" s="5">
        <f>A6*'Inputs &amp; Assumptions'!$B$8</f>
        <v>50</v>
      </c>
      <c r="C6" s="2">
        <f>IF(A6&gt;0,ROUNDUP(A6/'Inputs &amp; Assumptions'!$B$9,0),0)</f>
        <v>1</v>
      </c>
      <c r="D6" s="5">
        <f>C6*'Inputs &amp; Assumptions'!$B$10</f>
        <v>200</v>
      </c>
      <c r="E6" s="2" t="str">
        <f t="shared" si="0"/>
        <v>PAYG</v>
      </c>
      <c r="F6" s="5">
        <f t="shared" si="1"/>
        <v>150</v>
      </c>
      <c r="G6" s="2" t="str">
        <f t="shared" si="2"/>
        <v>PAYG avoids unused pack waste.</v>
      </c>
    </row>
    <row r="7" spans="1:8">
      <c r="A7" s="2">
        <v>10000</v>
      </c>
      <c r="B7" s="5">
        <f>A7*'Inputs &amp; Assumptions'!$B$8</f>
        <v>100</v>
      </c>
      <c r="C7" s="2">
        <f>IF(A7&gt;0,ROUNDUP(A7/'Inputs &amp; Assumptions'!$B$9,0),0)</f>
        <v>1</v>
      </c>
      <c r="D7" s="5">
        <f>C7*'Inputs &amp; Assumptions'!$B$10</f>
        <v>200</v>
      </c>
      <c r="E7" s="2" t="str">
        <f t="shared" si="0"/>
        <v>PAYG</v>
      </c>
      <c r="F7" s="5">
        <f t="shared" si="1"/>
        <v>100</v>
      </c>
      <c r="G7" s="2" t="str">
        <f t="shared" si="2"/>
        <v>PAYG avoids unused pack waste.</v>
      </c>
    </row>
    <row r="8" spans="1:8">
      <c r="A8" s="2">
        <v>15000</v>
      </c>
      <c r="B8" s="5">
        <f>A8*'Inputs &amp; Assumptions'!$B$8</f>
        <v>150</v>
      </c>
      <c r="C8" s="2">
        <f>IF(A8&gt;0,ROUNDUP(A8/'Inputs &amp; Assumptions'!$B$9,0),0)</f>
        <v>1</v>
      </c>
      <c r="D8" s="5">
        <f>C8*'Inputs &amp; Assumptions'!$B$10</f>
        <v>200</v>
      </c>
      <c r="E8" s="2" t="str">
        <f t="shared" si="0"/>
        <v>PAYG</v>
      </c>
      <c r="F8" s="5">
        <f t="shared" si="1"/>
        <v>50</v>
      </c>
      <c r="G8" s="2" t="str">
        <f t="shared" si="2"/>
        <v>PAYG avoids unused pack waste.</v>
      </c>
    </row>
    <row r="9" spans="1:8">
      <c r="A9" s="2">
        <v>20000</v>
      </c>
      <c r="B9" s="5">
        <f>A9*'Inputs &amp; Assumptions'!$B$8</f>
        <v>200</v>
      </c>
      <c r="C9" s="2">
        <f>IF(A9&gt;0,ROUNDUP(A9/'Inputs &amp; Assumptions'!$B$9,0),0)</f>
        <v>1</v>
      </c>
      <c r="D9" s="5">
        <f>C9*'Inputs &amp; Assumptions'!$B$10</f>
        <v>200</v>
      </c>
      <c r="E9" s="2" t="str">
        <f t="shared" si="0"/>
        <v>PAYG</v>
      </c>
      <c r="F9" s="5">
        <f t="shared" si="1"/>
        <v>0</v>
      </c>
      <c r="G9" s="2" t="str">
        <f t="shared" si="2"/>
        <v>PAYG avoids unused pack waste.</v>
      </c>
    </row>
    <row r="10" spans="1:8">
      <c r="A10" s="2">
        <v>25000</v>
      </c>
      <c r="B10" s="5">
        <f>A10*'Inputs &amp; Assumptions'!$B$8</f>
        <v>250</v>
      </c>
      <c r="C10" s="2">
        <f>IF(A10&gt;0,ROUNDUP(A10/'Inputs &amp; Assumptions'!$B$9,0),0)</f>
        <v>1</v>
      </c>
      <c r="D10" s="5">
        <f>C10*'Inputs &amp; Assumptions'!$B$10</f>
        <v>200</v>
      </c>
      <c r="E10" s="2" t="str">
        <f t="shared" si="0"/>
        <v>Capacity Packs</v>
      </c>
      <c r="F10" s="5">
        <f t="shared" si="1"/>
        <v>50</v>
      </c>
      <c r="G10" s="2" t="str">
        <f t="shared" si="2"/>
        <v>Packs lower unit cost when utilization is high.</v>
      </c>
    </row>
    <row r="11" spans="1:8">
      <c r="A11" s="2">
        <v>30000</v>
      </c>
      <c r="B11" s="5">
        <f>A11*'Inputs &amp; Assumptions'!$B$8</f>
        <v>300</v>
      </c>
      <c r="C11" s="2">
        <f>IF(A11&gt;0,ROUNDUP(A11/'Inputs &amp; Assumptions'!$B$9,0),0)</f>
        <v>2</v>
      </c>
      <c r="D11" s="5">
        <f>C11*'Inputs &amp; Assumptions'!$B$10</f>
        <v>400</v>
      </c>
      <c r="E11" s="2" t="str">
        <f t="shared" si="0"/>
        <v>PAYG</v>
      </c>
      <c r="F11" s="5">
        <f t="shared" si="1"/>
        <v>100</v>
      </c>
      <c r="G11" s="2" t="str">
        <f t="shared" si="2"/>
        <v>PAYG avoids unused pack waste.</v>
      </c>
    </row>
    <row r="12" spans="1:8">
      <c r="A12" s="2">
        <v>50000</v>
      </c>
      <c r="B12" s="5">
        <f>A12*'Inputs &amp; Assumptions'!$B$8</f>
        <v>500</v>
      </c>
      <c r="C12" s="2">
        <f>IF(A12&gt;0,ROUNDUP(A12/'Inputs &amp; Assumptions'!$B$9,0),0)</f>
        <v>2</v>
      </c>
      <c r="D12" s="5">
        <f>C12*'Inputs &amp; Assumptions'!$B$10</f>
        <v>400</v>
      </c>
      <c r="E12" s="2" t="str">
        <f t="shared" si="0"/>
        <v>Capacity Packs</v>
      </c>
      <c r="F12" s="5">
        <f t="shared" si="1"/>
        <v>100</v>
      </c>
      <c r="G12" s="2" t="str">
        <f t="shared" si="2"/>
        <v>Packs lower unit cost when utilization is high.</v>
      </c>
    </row>
    <row r="13" spans="1:8">
      <c r="A13" s="2">
        <v>75000</v>
      </c>
      <c r="B13" s="5">
        <f>A13*'Inputs &amp; Assumptions'!$B$8</f>
        <v>750</v>
      </c>
      <c r="C13" s="2">
        <f>IF(A13&gt;0,ROUNDUP(A13/'Inputs &amp; Assumptions'!$B$9,0),0)</f>
        <v>3</v>
      </c>
      <c r="D13" s="5">
        <f>C13*'Inputs &amp; Assumptions'!$B$10</f>
        <v>600</v>
      </c>
      <c r="E13" s="2" t="str">
        <f t="shared" si="0"/>
        <v>Capacity Packs</v>
      </c>
      <c r="F13" s="5">
        <f t="shared" si="1"/>
        <v>150</v>
      </c>
      <c r="G13" s="2" t="str">
        <f t="shared" si="2"/>
        <v>Packs lower unit cost when utilization is high.</v>
      </c>
    </row>
    <row r="14" spans="1:8">
      <c r="A14" s="2">
        <v>100000</v>
      </c>
      <c r="B14" s="5">
        <f>A14*'Inputs &amp; Assumptions'!$B$8</f>
        <v>1000</v>
      </c>
      <c r="C14" s="2">
        <f>IF(A14&gt;0,ROUNDUP(A14/'Inputs &amp; Assumptions'!$B$9,0),0)</f>
        <v>4</v>
      </c>
      <c r="D14" s="5">
        <f>C14*'Inputs &amp; Assumptions'!$B$10</f>
        <v>800</v>
      </c>
      <c r="E14" s="2" t="str">
        <f t="shared" si="0"/>
        <v>Capacity Packs</v>
      </c>
      <c r="F14" s="5">
        <f t="shared" si="1"/>
        <v>200</v>
      </c>
      <c r="G14" s="2" t="str">
        <f t="shared" si="2"/>
        <v>Packs lower unit cost when utilization is high.</v>
      </c>
    </row>
    <row r="15" spans="1:8">
      <c r="A15" s="2">
        <v>150000</v>
      </c>
      <c r="B15" s="5">
        <f>A15*'Inputs &amp; Assumptions'!$B$8</f>
        <v>1500</v>
      </c>
      <c r="C15" s="2">
        <f>IF(A15&gt;0,ROUNDUP(A15/'Inputs &amp; Assumptions'!$B$9,0),0)</f>
        <v>6</v>
      </c>
      <c r="D15" s="5">
        <f>C15*'Inputs &amp; Assumptions'!$B$10</f>
        <v>1200</v>
      </c>
      <c r="E15" s="2" t="str">
        <f t="shared" si="0"/>
        <v>Capacity Packs</v>
      </c>
      <c r="F15" s="5">
        <f t="shared" si="1"/>
        <v>300</v>
      </c>
      <c r="G15" s="2" t="str">
        <f t="shared" si="2"/>
        <v>Packs lower unit cost when utilization is high.</v>
      </c>
    </row>
    <row r="16" spans="1:8">
      <c r="A16" s="2">
        <v>200000</v>
      </c>
      <c r="B16" s="5">
        <f>A16*'Inputs &amp; Assumptions'!$B$8</f>
        <v>2000</v>
      </c>
      <c r="C16" s="2">
        <f>IF(A16&gt;0,ROUNDUP(A16/'Inputs &amp; Assumptions'!$B$9,0),0)</f>
        <v>8</v>
      </c>
      <c r="D16" s="5">
        <f>C16*'Inputs &amp; Assumptions'!$B$10</f>
        <v>1600</v>
      </c>
      <c r="E16" s="2" t="str">
        <f t="shared" si="0"/>
        <v>Capacity Packs</v>
      </c>
      <c r="F16" s="5">
        <f t="shared" si="1"/>
        <v>400</v>
      </c>
      <c r="G16" s="2" t="str">
        <f t="shared" si="2"/>
        <v>Packs lower unit cost when utilization is high.</v>
      </c>
    </row>
    <row r="17" spans="1:7">
      <c r="A17" s="2">
        <v>300000</v>
      </c>
      <c r="B17" s="5">
        <f>A17*'Inputs &amp; Assumptions'!$B$8</f>
        <v>3000</v>
      </c>
      <c r="C17" s="2">
        <f>IF(A17&gt;0,ROUNDUP(A17/'Inputs &amp; Assumptions'!$B$9,0),0)</f>
        <v>12</v>
      </c>
      <c r="D17" s="5">
        <f>C17*'Inputs &amp; Assumptions'!$B$10</f>
        <v>2400</v>
      </c>
      <c r="E17" s="2" t="str">
        <f t="shared" si="0"/>
        <v>Capacity Packs</v>
      </c>
      <c r="F17" s="5">
        <f t="shared" si="1"/>
        <v>600</v>
      </c>
      <c r="G17" s="2" t="str">
        <f t="shared" si="2"/>
        <v>Packs lower unit cost when utilization is high.</v>
      </c>
    </row>
    <row r="18" spans="1:7">
      <c r="A18" s="2">
        <v>500000</v>
      </c>
      <c r="B18" s="5">
        <f>A18*'Inputs &amp; Assumptions'!$B$8</f>
        <v>5000</v>
      </c>
      <c r="C18" s="2">
        <f>IF(A18&gt;0,ROUNDUP(A18/'Inputs &amp; Assumptions'!$B$9,0),0)</f>
        <v>20</v>
      </c>
      <c r="D18" s="5">
        <f>C18*'Inputs &amp; Assumptions'!$B$10</f>
        <v>4000</v>
      </c>
      <c r="E18" s="2" t="str">
        <f t="shared" si="0"/>
        <v>Capacity Packs</v>
      </c>
      <c r="F18" s="5">
        <f t="shared" si="1"/>
        <v>1000</v>
      </c>
      <c r="G18" s="2" t="str">
        <f t="shared" si="2"/>
        <v>Packs lower unit cost when utilization is high.</v>
      </c>
    </row>
    <row r="19" spans="1:7">
      <c r="A19" s="2">
        <v>750000</v>
      </c>
      <c r="B19" s="5">
        <f>A19*'Inputs &amp; Assumptions'!$B$8</f>
        <v>7500</v>
      </c>
      <c r="C19" s="2">
        <f>IF(A19&gt;0,ROUNDUP(A19/'Inputs &amp; Assumptions'!$B$9,0),0)</f>
        <v>30</v>
      </c>
      <c r="D19" s="5">
        <f>C19*'Inputs &amp; Assumptions'!$B$10</f>
        <v>6000</v>
      </c>
      <c r="E19" s="2" t="str">
        <f t="shared" si="0"/>
        <v>Capacity Packs</v>
      </c>
      <c r="F19" s="5">
        <f t="shared" si="1"/>
        <v>1500</v>
      </c>
      <c r="G19" s="2" t="str">
        <f t="shared" si="2"/>
        <v>Packs lower unit cost when utilization is high.</v>
      </c>
    </row>
    <row r="20" spans="1:7">
      <c r="A20" s="2">
        <v>1000000</v>
      </c>
      <c r="B20" s="5">
        <f>A20*'Inputs &amp; Assumptions'!$B$8</f>
        <v>10000</v>
      </c>
      <c r="C20" s="2">
        <f>IF(A20&gt;0,ROUNDUP(A20/'Inputs &amp; Assumptions'!$B$9,0),0)</f>
        <v>40</v>
      </c>
      <c r="D20" s="5">
        <f>C20*'Inputs &amp; Assumptions'!$B$10</f>
        <v>8000</v>
      </c>
      <c r="E20" s="2" t="str">
        <f t="shared" si="0"/>
        <v>Capacity Packs</v>
      </c>
      <c r="F20" s="5">
        <f t="shared" si="1"/>
        <v>2000</v>
      </c>
      <c r="G20" s="2" t="str">
        <f t="shared" si="2"/>
        <v>Packs lower unit cost when utilization is high.</v>
      </c>
    </row>
  </sheetData>
  <mergeCells count="2">
    <mergeCell ref="A2:H2"/>
    <mergeCell ref="A1:H1"/>
  </mergeCells>
  <pageMargins left="0.75" right="0.75" top="1" bottom="1" header="0.5" footer="0.5"/>
  <pageSetup fitToHeight="0"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4"/>
  <sheetViews>
    <sheetView showGridLines="0" workbookViewId="0">
      <pane ySplit="3" topLeftCell="A4" activePane="bottomLeft" state="frozen"/>
      <selection pane="bottomLeft" sqref="A1:H1"/>
    </sheetView>
  </sheetViews>
  <sheetFormatPr defaultRowHeight="15"/>
  <cols>
    <col min="1" max="2" width="50" customWidth="1"/>
    <col min="3" max="3" width="8" customWidth="1"/>
    <col min="4" max="4" width="3" customWidth="1"/>
    <col min="5" max="5" width="50" customWidth="1"/>
    <col min="6" max="7" width="35" customWidth="1"/>
    <col min="8" max="8" width="50" customWidth="1"/>
  </cols>
  <sheetData>
    <row r="1" spans="1:8" ht="23.25">
      <c r="A1" s="69" t="s">
        <v>184</v>
      </c>
      <c r="B1" s="70"/>
      <c r="C1" s="70"/>
      <c r="D1" s="70"/>
      <c r="E1" s="70"/>
      <c r="F1" s="70"/>
      <c r="G1" s="70"/>
      <c r="H1" s="70"/>
    </row>
    <row r="2" spans="1:8">
      <c r="A2" s="71" t="s">
        <v>185</v>
      </c>
      <c r="B2" s="70"/>
      <c r="C2" s="70"/>
      <c r="D2" s="70"/>
      <c r="E2" s="70"/>
      <c r="F2" s="70"/>
      <c r="G2" s="70"/>
      <c r="H2" s="70"/>
    </row>
    <row r="4" spans="1:8">
      <c r="A4" s="1" t="s">
        <v>32</v>
      </c>
      <c r="B4" s="1" t="s">
        <v>33</v>
      </c>
      <c r="C4" s="1" t="s">
        <v>67</v>
      </c>
      <c r="E4" s="72" t="s">
        <v>186</v>
      </c>
      <c r="F4" s="70"/>
      <c r="G4" s="70"/>
      <c r="H4" s="70"/>
    </row>
    <row r="5" spans="1:8">
      <c r="A5" s="2" t="s">
        <v>36</v>
      </c>
      <c r="B5" s="2" t="str">
        <f>'Inputs &amp; Assumptions'!B5</f>
        <v>Pilot</v>
      </c>
      <c r="C5" s="2"/>
      <c r="E5" s="1" t="s">
        <v>187</v>
      </c>
      <c r="F5" s="1" t="s">
        <v>188</v>
      </c>
      <c r="G5" s="1" t="s">
        <v>189</v>
      </c>
      <c r="H5" s="1" t="s">
        <v>67</v>
      </c>
    </row>
    <row r="6" spans="1:8" ht="30">
      <c r="A6" s="2" t="s">
        <v>190</v>
      </c>
      <c r="B6" s="4">
        <f>IF(B5="Pilot",'Inputs &amp; Assumptions'!B13,'Inputs &amp; Assumptions'!B14)</f>
        <v>25</v>
      </c>
      <c r="C6" s="2"/>
      <c r="E6" s="18">
        <v>10</v>
      </c>
      <c r="F6" s="19">
        <f>E6*'Inputs &amp; Assumptions'!$B$6</f>
        <v>255</v>
      </c>
      <c r="G6" s="20">
        <f>F6/'Inputs &amp; Assumptions'!$B$8</f>
        <v>25500</v>
      </c>
      <c r="H6" s="18" t="s">
        <v>191</v>
      </c>
    </row>
    <row r="7" spans="1:8" ht="30">
      <c r="A7" s="2" t="s">
        <v>192</v>
      </c>
      <c r="B7" s="5">
        <f>B6*'Inputs &amp; Assumptions'!B6</f>
        <v>637.5</v>
      </c>
      <c r="C7" s="2"/>
      <c r="E7" s="18">
        <v>25</v>
      </c>
      <c r="F7" s="19">
        <f>E7*'Inputs &amp; Assumptions'!$B$6</f>
        <v>637.5</v>
      </c>
      <c r="G7" s="20">
        <f>F7/'Inputs &amp; Assumptions'!$B$8</f>
        <v>63750</v>
      </c>
      <c r="H7" s="18" t="s">
        <v>191</v>
      </c>
    </row>
    <row r="8" spans="1:8" ht="30">
      <c r="A8" s="2" t="s">
        <v>193</v>
      </c>
      <c r="B8" s="4">
        <f>SUM('Project Evaluator'!P5:P34)</f>
        <v>64280</v>
      </c>
      <c r="C8" s="2"/>
      <c r="E8" s="18">
        <v>50</v>
      </c>
      <c r="F8" s="19">
        <f>E8*'Inputs &amp; Assumptions'!$B$6</f>
        <v>1275</v>
      </c>
      <c r="G8" s="20">
        <f>F8/'Inputs &amp; Assumptions'!$B$8</f>
        <v>127500</v>
      </c>
      <c r="H8" s="18" t="s">
        <v>191</v>
      </c>
    </row>
    <row r="9" spans="1:8" ht="30">
      <c r="A9" s="2" t="s">
        <v>194</v>
      </c>
      <c r="B9" s="5">
        <f>B8*'Inputs &amp; Assumptions'!B8</f>
        <v>642.80000000000007</v>
      </c>
      <c r="C9" s="2"/>
      <c r="E9" s="18">
        <v>100</v>
      </c>
      <c r="F9" s="19">
        <f>E9*'Inputs &amp; Assumptions'!$B$6</f>
        <v>2550</v>
      </c>
      <c r="G9" s="20">
        <f>F9/'Inputs &amp; Assumptions'!$B$8</f>
        <v>255000</v>
      </c>
      <c r="H9" s="18" t="s">
        <v>191</v>
      </c>
    </row>
    <row r="10" spans="1:8" ht="30">
      <c r="A10" s="2" t="s">
        <v>195</v>
      </c>
      <c r="B10" s="5">
        <f>IF(B8&gt;0,ROUNDUP(B8/'Inputs &amp; Assumptions'!B9,0)*'Inputs &amp; Assumptions'!B10,0)</f>
        <v>600</v>
      </c>
      <c r="C10" s="2"/>
      <c r="E10" s="18">
        <v>150</v>
      </c>
      <c r="F10" s="19">
        <f>E10*'Inputs &amp; Assumptions'!$B$6</f>
        <v>3825</v>
      </c>
      <c r="G10" s="20">
        <f>F10/'Inputs &amp; Assumptions'!$B$8</f>
        <v>382500</v>
      </c>
      <c r="H10" s="18" t="s">
        <v>191</v>
      </c>
    </row>
    <row r="11" spans="1:8" ht="30">
      <c r="A11" s="2" t="s">
        <v>196</v>
      </c>
      <c r="B11" s="5">
        <f>IF(B9&lt;=B10,B9,B10)</f>
        <v>600</v>
      </c>
      <c r="C11" s="2"/>
      <c r="E11" s="18">
        <v>250</v>
      </c>
      <c r="F11" s="19">
        <f>E11*'Inputs &amp; Assumptions'!$B$6</f>
        <v>6375</v>
      </c>
      <c r="G11" s="20">
        <f>F11/'Inputs &amp; Assumptions'!$B$8</f>
        <v>637500</v>
      </c>
      <c r="H11" s="18" t="s">
        <v>191</v>
      </c>
    </row>
    <row r="12" spans="1:8" ht="30">
      <c r="A12" s="2" t="s">
        <v>197</v>
      </c>
      <c r="B12" s="4">
        <f>B7/'Inputs &amp; Assumptions'!B8</f>
        <v>63750</v>
      </c>
      <c r="C12" s="2"/>
      <c r="E12" s="18">
        <v>500</v>
      </c>
      <c r="F12" s="19">
        <f>E12*'Inputs &amp; Assumptions'!$B$6</f>
        <v>12750</v>
      </c>
      <c r="G12" s="20">
        <f>F12/'Inputs &amp; Assumptions'!$B$8</f>
        <v>1275000</v>
      </c>
      <c r="H12" s="18" t="s">
        <v>191</v>
      </c>
    </row>
    <row r="13" spans="1:8" ht="30">
      <c r="A13" s="2" t="s">
        <v>198</v>
      </c>
      <c r="B13" s="4">
        <f>B11/'Inputs &amp; Assumptions'!B6</f>
        <v>23.529411764705884</v>
      </c>
      <c r="C13" s="2"/>
      <c r="E13" s="18">
        <v>1000</v>
      </c>
      <c r="F13" s="19">
        <f>E13*'Inputs &amp; Assumptions'!$B$6</f>
        <v>25500</v>
      </c>
      <c r="G13" s="20">
        <f>F13/'Inputs &amp; Assumptions'!$B$8</f>
        <v>2550000</v>
      </c>
      <c r="H13" s="18" t="s">
        <v>191</v>
      </c>
    </row>
    <row r="14" spans="1:8" ht="30">
      <c r="A14" s="2" t="s">
        <v>34</v>
      </c>
      <c r="B14" s="2" t="str">
        <f>IF(B11&lt;B7,"Agent run-cost is below broad Copilot licensing, but capability and governance still determine fit.","Broad Copilot licensing is below or near agent run-cost; prioritize user productivity and adoption ROI.")</f>
        <v>Agent run-cost is below broad Copilot licensing, but capability and governance still determine fit.</v>
      </c>
      <c r="C14" s="2"/>
    </row>
  </sheetData>
  <mergeCells count="3">
    <mergeCell ref="A2:H2"/>
    <mergeCell ref="E4:H4"/>
    <mergeCell ref="A1:H1"/>
  </mergeCells>
  <pageMargins left="0.75" right="0.75" top="1" bottom="1" header="0.5" footer="0.5"/>
  <pageSetup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0"/>
  <sheetViews>
    <sheetView showGridLines="0" workbookViewId="0">
      <pane ySplit="3" topLeftCell="A4" activePane="bottomLeft" state="frozen"/>
      <selection pane="bottomLeft" activeCell="B16" sqref="B16"/>
    </sheetView>
  </sheetViews>
  <sheetFormatPr defaultRowHeight="15"/>
  <cols>
    <col min="1" max="4" width="50" customWidth="1"/>
    <col min="5" max="8" width="3" customWidth="1"/>
  </cols>
  <sheetData>
    <row r="1" spans="1:8" ht="23.25">
      <c r="A1" s="69" t="s">
        <v>199</v>
      </c>
      <c r="B1" s="70"/>
      <c r="C1" s="70"/>
      <c r="D1" s="70"/>
      <c r="E1" s="70"/>
      <c r="F1" s="70"/>
      <c r="G1" s="70"/>
      <c r="H1" s="70"/>
    </row>
    <row r="2" spans="1:8">
      <c r="A2" s="71" t="s">
        <v>200</v>
      </c>
      <c r="B2" s="70"/>
      <c r="C2" s="70"/>
      <c r="D2" s="70"/>
      <c r="E2" s="70"/>
      <c r="F2" s="70"/>
      <c r="G2" s="70"/>
      <c r="H2" s="70"/>
    </row>
    <row r="4" spans="1:8">
      <c r="A4" s="1" t="s">
        <v>201</v>
      </c>
      <c r="B4" s="1" t="s">
        <v>202</v>
      </c>
      <c r="C4" s="1" t="s">
        <v>203</v>
      </c>
      <c r="D4" s="1" t="s">
        <v>204</v>
      </c>
    </row>
    <row r="5" spans="1:8">
      <c r="A5" s="2" t="s">
        <v>205</v>
      </c>
      <c r="B5" s="5">
        <f>'Inputs &amp; Assumptions'!B11</f>
        <v>2000</v>
      </c>
      <c r="C5" s="2" t="s">
        <v>206</v>
      </c>
      <c r="D5" s="2" t="s">
        <v>207</v>
      </c>
    </row>
    <row r="6" spans="1:8">
      <c r="A6" s="2" t="s">
        <v>208</v>
      </c>
      <c r="B6" s="5">
        <f>MIN('Executive Dashboard'!B10,'Executive Dashboard'!B12)</f>
        <v>600</v>
      </c>
      <c r="C6" s="2" t="s">
        <v>209</v>
      </c>
      <c r="D6" s="2" t="s">
        <v>210</v>
      </c>
    </row>
    <row r="7" spans="1:8" ht="30">
      <c r="A7" s="2" t="s">
        <v>55</v>
      </c>
      <c r="B7" s="2" t="str">
        <f>'Executive Dashboard'!B16</f>
        <v>Within ceiling</v>
      </c>
      <c r="C7" s="2" t="s">
        <v>211</v>
      </c>
      <c r="D7" s="2" t="s">
        <v>212</v>
      </c>
    </row>
    <row r="8" spans="1:8" ht="30">
      <c r="A8" s="2" t="s">
        <v>213</v>
      </c>
      <c r="B8" s="2" t="s">
        <v>214</v>
      </c>
      <c r="C8" s="2" t="s">
        <v>215</v>
      </c>
      <c r="D8" s="2" t="s">
        <v>216</v>
      </c>
    </row>
    <row r="9" spans="1:8" ht="30">
      <c r="A9" s="2" t="s">
        <v>217</v>
      </c>
      <c r="B9" s="2" t="s">
        <v>218</v>
      </c>
      <c r="C9" s="2" t="s">
        <v>219</v>
      </c>
      <c r="D9" s="2" t="s">
        <v>220</v>
      </c>
    </row>
    <row r="10" spans="1:8" ht="30">
      <c r="A10" s="2" t="s">
        <v>221</v>
      </c>
      <c r="B10" s="2" t="s">
        <v>222</v>
      </c>
      <c r="C10" s="2" t="s">
        <v>223</v>
      </c>
      <c r="D10" s="2" t="s">
        <v>224</v>
      </c>
    </row>
    <row r="14" spans="1:8">
      <c r="A14" s="7" t="s">
        <v>225</v>
      </c>
    </row>
    <row r="15" spans="1:8">
      <c r="A15" s="1" t="s">
        <v>226</v>
      </c>
      <c r="B15" s="1" t="s">
        <v>227</v>
      </c>
      <c r="C15" s="1" t="s">
        <v>228</v>
      </c>
    </row>
    <row r="16" spans="1:8" ht="45">
      <c r="A16" s="2" t="s">
        <v>229</v>
      </c>
      <c r="B16" s="2"/>
      <c r="C16" s="2" t="s">
        <v>230</v>
      </c>
    </row>
    <row r="17" spans="1:3" ht="30">
      <c r="A17" s="2" t="s">
        <v>231</v>
      </c>
      <c r="B17" s="2"/>
      <c r="C17" s="2" t="s">
        <v>232</v>
      </c>
    </row>
    <row r="18" spans="1:3">
      <c r="A18" s="2" t="s">
        <v>233</v>
      </c>
      <c r="B18" s="2"/>
      <c r="C18" s="2" t="s">
        <v>234</v>
      </c>
    </row>
    <row r="19" spans="1:3">
      <c r="A19" s="2" t="s">
        <v>235</v>
      </c>
      <c r="B19" s="2"/>
      <c r="C19" s="2" t="s">
        <v>236</v>
      </c>
    </row>
    <row r="20" spans="1:3">
      <c r="A20" s="2" t="s">
        <v>237</v>
      </c>
      <c r="B20" s="2"/>
      <c r="C20" s="2" t="s">
        <v>238</v>
      </c>
    </row>
  </sheetData>
  <mergeCells count="2">
    <mergeCell ref="A2:H2"/>
    <mergeCell ref="A1:H1"/>
  </mergeCells>
  <conditionalFormatting sqref="B7">
    <cfRule type="expression" dxfId="2" priority="1">
      <formula>B7="Over ceiling"</formula>
    </cfRule>
    <cfRule type="expression" dxfId="1" priority="2">
      <formula>B7="Near ceiling"</formula>
    </cfRule>
    <cfRule type="expression" dxfId="0" priority="3">
      <formula>B7="Within ceiling"</formula>
    </cfRule>
  </conditionalFormatting>
  <dataValidations count="1">
    <dataValidation type="list" sqref="B16:B20" xr:uid="{00000000-0002-0000-0600-000000000000}">
      <formula1>"Pass,Fail,Unknown"</formula1>
    </dataValidation>
  </dataValidations>
  <pageMargins left="0.75" right="0.75" top="1" bottom="1" header="0.5" footer="0.5"/>
  <pageSetup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9"/>
  <sheetViews>
    <sheetView showGridLines="0" workbookViewId="0">
      <pane ySplit="3" topLeftCell="A9" activePane="bottomLeft" state="frozen"/>
      <selection pane="bottomLeft" activeCell="A9" sqref="A9:XFD9"/>
    </sheetView>
  </sheetViews>
  <sheetFormatPr defaultRowHeight="15"/>
  <cols>
    <col min="1" max="4" width="50" customWidth="1"/>
    <col min="5" max="8" width="3" customWidth="1"/>
  </cols>
  <sheetData>
    <row r="1" spans="1:8" ht="23.25">
      <c r="A1" s="69" t="s">
        <v>239</v>
      </c>
      <c r="B1" s="70"/>
      <c r="C1" s="70"/>
      <c r="D1" s="70"/>
      <c r="E1" s="70"/>
      <c r="F1" s="70"/>
      <c r="G1" s="70"/>
      <c r="H1" s="70"/>
    </row>
    <row r="2" spans="1:8">
      <c r="A2" s="71" t="s">
        <v>240</v>
      </c>
      <c r="B2" s="70"/>
      <c r="C2" s="70"/>
      <c r="D2" s="70"/>
      <c r="E2" s="70"/>
      <c r="F2" s="70"/>
      <c r="G2" s="70"/>
      <c r="H2" s="70"/>
    </row>
    <row r="4" spans="1:8">
      <c r="A4" s="1" t="s">
        <v>241</v>
      </c>
      <c r="B4" s="1" t="s">
        <v>242</v>
      </c>
      <c r="C4" s="1" t="s">
        <v>243</v>
      </c>
      <c r="D4" s="1" t="s">
        <v>244</v>
      </c>
    </row>
    <row r="5" spans="1:8" ht="30">
      <c r="A5" s="2" t="s">
        <v>69</v>
      </c>
      <c r="B5" s="2" t="s">
        <v>245</v>
      </c>
      <c r="C5" s="2" t="s">
        <v>246</v>
      </c>
      <c r="D5" s="2" t="s">
        <v>247</v>
      </c>
    </row>
    <row r="6" spans="1:8" ht="30">
      <c r="A6" s="2" t="s">
        <v>248</v>
      </c>
      <c r="B6" s="2" t="s">
        <v>249</v>
      </c>
      <c r="C6" s="2" t="s">
        <v>250</v>
      </c>
      <c r="D6" s="2" t="s">
        <v>251</v>
      </c>
    </row>
    <row r="9" spans="1:8" ht="33" customHeight="1">
      <c r="A9" s="7" t="s">
        <v>252</v>
      </c>
      <c r="B9" s="68" t="s">
        <v>253</v>
      </c>
      <c r="C9" s="70"/>
      <c r="D9" s="70"/>
      <c r="E9" s="70"/>
      <c r="F9" s="70"/>
      <c r="G9" s="70"/>
      <c r="H9" s="70"/>
    </row>
  </sheetData>
  <mergeCells count="3">
    <mergeCell ref="B9:H9"/>
    <mergeCell ref="A2:H2"/>
    <mergeCell ref="A1:H1"/>
  </mergeCells>
  <pageMargins left="0.75" right="0.75" top="1" bottom="1" header="0.5" footer="0.5"/>
  <pageSetup fitToHeight="0" orientation="landscape"/>
</worksheet>
</file>

<file path=docMetadata/LabelInfo.xml><?xml version="1.0" encoding="utf-8"?>
<clbl:labelList xmlns:clbl="http://schemas.microsoft.com/office/2020/mipLabelMetadata">
  <clbl:label id="{9ca3cd07-25cc-42d9-b24c-489d901d3bae}" enabled="1" method="Standard" siteId="{11ade293-0763-48d6-88e9-10a37e728d28}"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2026-06-18T19:11:20Z</dcterms:created>
  <dcterms:modified xsi:type="dcterms:W3CDTF">2026-06-19T01:25:54Z</dcterms:modified>
  <cp:category/>
  <cp:contentStatus/>
</cp:coreProperties>
</file>